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Y:\www\devel\htdocs\autoQApython\bdcc\qa\"/>
    </mc:Choice>
  </mc:AlternateContent>
  <xr:revisionPtr revIDLastSave="0" documentId="13_ncr:1_{031393CF-F688-4C94-9157-924779035B3B}" xr6:coauthVersionLast="47" xr6:coauthVersionMax="47" xr10:uidLastSave="{00000000-0000-0000-0000-000000000000}"/>
  <bookViews>
    <workbookView xWindow="-120" yWindow="-120" windowWidth="29040" windowHeight="15840" tabRatio="861" xr2:uid="{00000000-000D-0000-FFFF-FFFF00000000}"/>
  </bookViews>
  <sheets>
    <sheet name="Instructions" sheetId="23" r:id="rId1"/>
    <sheet name="Doses" sheetId="1" r:id="rId2"/>
    <sheet name="Isospec" sheetId="7" r:id="rId3"/>
    <sheet name="d" sheetId="2" r:id="rId4"/>
    <sheet name="res_dust" sheetId="3" r:id="rId5"/>
    <sheet name="res_air" sheetId="4" r:id="rId6"/>
    <sheet name="res_3D" sheetId="5" r:id="rId7"/>
    <sheet name="ind_dust" sheetId="8" r:id="rId8"/>
    <sheet name="ind_air" sheetId="9" r:id="rId9"/>
    <sheet name="ind_3D" sheetId="10" r:id="rId10"/>
    <sheet name="ss" sheetId="6" r:id="rId11"/>
    <sheet name="s_res_dust" sheetId="11" r:id="rId12"/>
    <sheet name="s_res_air" sheetId="12" r:id="rId13"/>
    <sheet name="s_res_3D" sheetId="13" r:id="rId14"/>
    <sheet name="s_ind_dust" sheetId="14" r:id="rId15"/>
    <sheet name="s_ind_air" sheetId="15" r:id="rId16"/>
    <sheet name="s_ind_3D" sheetId="16" r:id="rId17"/>
    <sheet name="s_res_dust_dose" sheetId="17" r:id="rId18"/>
    <sheet name="s_res_air_dose" sheetId="18" r:id="rId19"/>
    <sheet name="s_res_3D_dose" sheetId="19" r:id="rId20"/>
    <sheet name="s_ind_dust_dose" sheetId="20" r:id="rId21"/>
    <sheet name="s_ind_air_dose" sheetId="21" r:id="rId22"/>
    <sheet name="s_ind_3D_dose" sheetId="22" r:id="rId23"/>
  </sheets>
  <definedNames>
    <definedName name="_1_bq">d!$B$13</definedName>
    <definedName name="_xlnm._FilterDatabase" localSheetId="1" hidden="1">Doses!$A$1:$O$30</definedName>
    <definedName name="_xlnm._FilterDatabase" localSheetId="9" hidden="1">ind_3D!$A$2:$Q$78</definedName>
    <definedName name="_xlnm._FilterDatabase" localSheetId="8" hidden="1">ind_air!$A$2:$K$78</definedName>
    <definedName name="_xlnm._FilterDatabase" localSheetId="7" hidden="1">ind_dust!$A$2:$K$78</definedName>
    <definedName name="_xlnm._FilterDatabase" localSheetId="2" hidden="1">Isospec!$A$2:$R$31</definedName>
    <definedName name="_xlnm._FilterDatabase" localSheetId="6" hidden="1">res_3D!$A$2:$G$78</definedName>
    <definedName name="_xlnm._FilterDatabase" localSheetId="5" hidden="1">res_air!$A$2:$K$77</definedName>
    <definedName name="_xlnm._FilterDatabase" localSheetId="4" hidden="1">res_dust!$A$2:$K$77</definedName>
    <definedName name="_xlnm._FilterDatabase" localSheetId="16" hidden="1">s_ind_3D!$A$2:$Q$78</definedName>
    <definedName name="_xlnm._FilterDatabase" localSheetId="22" hidden="1">s_ind_3D_dose!$A$2:$Q$78</definedName>
    <definedName name="_xlnm._FilterDatabase" localSheetId="15" hidden="1">s_ind_air!$A$2:$K$78</definedName>
    <definedName name="_xlnm._FilterDatabase" localSheetId="21" hidden="1">s_ind_air_dose!$A$2:$J$78</definedName>
    <definedName name="_xlnm._FilterDatabase" localSheetId="14" hidden="1">s_ind_dust!$A$2:$K$78</definedName>
    <definedName name="_xlnm._FilterDatabase" localSheetId="20" hidden="1">s_ind_dust_dose!$A$2:$J$78</definedName>
    <definedName name="_xlnm._FilterDatabase" localSheetId="13" hidden="1">s_res_3D!$A$2:$Q$78</definedName>
    <definedName name="_xlnm._FilterDatabase" localSheetId="19" hidden="1">s_res_3D_dose!$A$2:$Q$78</definedName>
    <definedName name="_xlnm._FilterDatabase" localSheetId="12" hidden="1">s_res_air!$A$2:$K$78</definedName>
    <definedName name="_xlnm._FilterDatabase" localSheetId="18" hidden="1">s_res_air_dose!$A$2:$J$78</definedName>
    <definedName name="_xlnm._FilterDatabase" localSheetId="11" hidden="1">s_res_dust!$A$2:$K$78</definedName>
    <definedName name="_xlnm._FilterDatabase" localSheetId="17" hidden="1">s_res_dust_dose!$A$2:$J$78</definedName>
    <definedName name="AAFa">d!$E$4</definedName>
    <definedName name="AAFc">d!$E$3</definedName>
    <definedName name="DL">d!$B$2</definedName>
    <definedName name="EFiw">d!$H$3</definedName>
    <definedName name="EFres">d!$E$7</definedName>
    <definedName name="EFres_a">d!$E$6</definedName>
    <definedName name="EFres_c">d!$E$5</definedName>
    <definedName name="ETiw">d!$H$4</definedName>
    <definedName name="ETiw_h">d!$H$5</definedName>
    <definedName name="ETiw_s">d!$H$6</definedName>
    <definedName name="ETres">d!$E$8</definedName>
    <definedName name="ETres_a">d!$E$10</definedName>
    <definedName name="ETres_a_h">d!$E$11</definedName>
    <definedName name="ETres_a_s">d!$E$13</definedName>
    <definedName name="ETres_c">d!$E$9</definedName>
    <definedName name="ETres_c_h">d!$E$12</definedName>
    <definedName name="ETres_c_s">d!$E$14</definedName>
    <definedName name="Fam">d!$B$6</definedName>
    <definedName name="Fi">d!$B$5</definedName>
    <definedName name="Fin">d!$B$4</definedName>
    <definedName name="Foff">d!$B$7</definedName>
    <definedName name="FQiw">d!$H$8</definedName>
    <definedName name="FQres_a">d!$E$18</definedName>
    <definedName name="FQres_c">d!$E$17</definedName>
    <definedName name="FSAres_a">d!$E$20</definedName>
    <definedName name="FSAres_c">d!$E$19</definedName>
    <definedName name="FTSSh">d!$B$8</definedName>
    <definedName name="FTSSh_a" localSheetId="10">ss!$B$8</definedName>
    <definedName name="FTSSh_a">d!$B$8</definedName>
    <definedName name="FTSSh_c" localSheetId="10">ss!$B$9</definedName>
    <definedName name="FTSSh_c">d!$B$9</definedName>
    <definedName name="FTSSs">d!$B$9</definedName>
    <definedName name="FTSSs_a" localSheetId="10">ss!$B$10</definedName>
    <definedName name="FTSSs_a">d!$B$10</definedName>
    <definedName name="FTSSs_c" localSheetId="10">ss!$B$11</definedName>
    <definedName name="FTSSs_c">d!$B$11</definedName>
    <definedName name="GSFa">d!$B$16</definedName>
    <definedName name="GSFb">d!$B$17</definedName>
    <definedName name="IFAres_adj">d!$E$24</definedName>
    <definedName name="IFDiw">d!$H$10</definedName>
    <definedName name="IFDres_adj">d!$E$23</definedName>
    <definedName name="IRAiw">d!$H$9</definedName>
    <definedName name="IRAres_a">d!$E$22</definedName>
    <definedName name="IRAres_c">d!$E$21</definedName>
    <definedName name="IRDiw">d!$H$10</definedName>
    <definedName name="k">d!$B$3</definedName>
    <definedName name="k_decay">ss!$E$25</definedName>
    <definedName name="k_decay_iw">ss!$H$11</definedName>
    <definedName name="s_1_bq">ss!$B$13</definedName>
    <definedName name="s_AAFa">ss!$E$4</definedName>
    <definedName name="s_AAFc">ss!$E$3</definedName>
    <definedName name="s_C">ss!$B$18</definedName>
    <definedName name="s_DL">ss!$B$2</definedName>
    <definedName name="s_EFiw">ss!$H$3</definedName>
    <definedName name="s_EFres">ss!$E$7</definedName>
    <definedName name="s_EFres_a">ss!$E$6</definedName>
    <definedName name="s_EFres_c">ss!$E$5</definedName>
    <definedName name="s_ETiw">ss!$H$4</definedName>
    <definedName name="s_ETiw_h">ss!$H$5</definedName>
    <definedName name="s_ETiw_s">ss!$H$6</definedName>
    <definedName name="s_ETres">ss!$E$8</definedName>
    <definedName name="s_ETres_a">ss!$E$10</definedName>
    <definedName name="s_ETres_a_h">ss!$E$11</definedName>
    <definedName name="s_ETres_a_s">ss!$E$13</definedName>
    <definedName name="s_ETres_c">ss!$E$9</definedName>
    <definedName name="s_ETres_c_h">ss!$E$12</definedName>
    <definedName name="s_ETres_c_s">ss!$E$14</definedName>
    <definedName name="s_Fam">ss!$B$6</definedName>
    <definedName name="s_Fi">ss!$B$5</definedName>
    <definedName name="s_Fin">ss!$B$4</definedName>
    <definedName name="s_Foff">ss!$B$7</definedName>
    <definedName name="s_FQiw">ss!$H$8</definedName>
    <definedName name="s_FQres_a">ss!$E$18</definedName>
    <definedName name="s_FQres_c">ss!$E$17</definedName>
    <definedName name="s_FSAres_a">ss!$E$20</definedName>
    <definedName name="s_FSAres_c">ss!$E$19</definedName>
    <definedName name="s_FTSSh">ss!$B$8</definedName>
    <definedName name="s_FTSSh_a">ss!$B$8</definedName>
    <definedName name="s_FTSSh_c">ss!$B$9</definedName>
    <definedName name="s_FTSSs">ss!$B$9</definedName>
    <definedName name="s_FTSSs_a">ss!$B$10</definedName>
    <definedName name="s_FTSSs_c">ss!$B$11</definedName>
    <definedName name="s_GSFa">ss!$B$16</definedName>
    <definedName name="s_GSFb">ss!$B$17</definedName>
    <definedName name="s_IFAres_adj">ss!$E$24</definedName>
    <definedName name="s_IFDiw">ss!$H$10</definedName>
    <definedName name="s_IFDres_adj">ss!$E$23</definedName>
    <definedName name="s_IRAiw">ss!$H$9</definedName>
    <definedName name="s_IRAres_a">ss!$E$22</definedName>
    <definedName name="s_IRAres_c">ss!$E$21</definedName>
    <definedName name="s_IRDiw">ss!$H$10</definedName>
    <definedName name="s_k">ss!$B$3</definedName>
    <definedName name="s_SAiw">ss!$H$7</definedName>
    <definedName name="s_SAres_a">ss!$E$16</definedName>
    <definedName name="s_SAres_c">ss!$E$15</definedName>
    <definedName name="s_SE">ss!$B$12</definedName>
    <definedName name="s_SSLcm_m">ss!$B$14</definedName>
    <definedName name="s_SSLgram">ss!$B$15</definedName>
    <definedName name="s_tiw">ss!$H$2</definedName>
    <definedName name="s_tres">ss!$E$2</definedName>
    <definedName name="SAiw">d!$H$7</definedName>
    <definedName name="SAres_a">d!$E$16</definedName>
    <definedName name="SAres_c">d!$E$15</definedName>
    <definedName name="SE">d!$B$12</definedName>
    <definedName name="SSLcm_m">d!$B$14</definedName>
    <definedName name="SSLgram">d!$B$15</definedName>
    <definedName name="tiw">d!$H$2</definedName>
    <definedName name="tres">d!$E$2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1" i="20" l="1"/>
  <c r="H71" i="20" s="1"/>
  <c r="E69" i="20"/>
  <c r="H69" i="20" s="1"/>
  <c r="E58" i="20"/>
  <c r="E56" i="20"/>
  <c r="E54" i="20"/>
  <c r="E44" i="20"/>
  <c r="E42" i="20"/>
  <c r="E31" i="20"/>
  <c r="H31" i="20" s="1"/>
  <c r="E29" i="20"/>
  <c r="H29" i="20" s="1"/>
  <c r="E19" i="20"/>
  <c r="H19" i="20" s="1"/>
  <c r="E17" i="20"/>
  <c r="H17" i="20" s="1"/>
  <c r="E11" i="20"/>
  <c r="H11" i="20" s="1"/>
  <c r="E7" i="20"/>
  <c r="H7" i="20" s="1"/>
  <c r="E5" i="20"/>
  <c r="H5" i="20" s="1"/>
  <c r="C4" i="20"/>
  <c r="E4" i="20" s="1"/>
  <c r="H4" i="20" s="1"/>
  <c r="D4" i="20"/>
  <c r="F4" i="20" s="1"/>
  <c r="I4" i="20" s="1"/>
  <c r="C5" i="20"/>
  <c r="E34" i="20" s="1"/>
  <c r="D5" i="20"/>
  <c r="C6" i="20"/>
  <c r="E6" i="20" s="1"/>
  <c r="H6" i="20" s="1"/>
  <c r="D6" i="20"/>
  <c r="C7" i="20"/>
  <c r="E68" i="20" s="1"/>
  <c r="D7" i="20"/>
  <c r="F7" i="20" s="1"/>
  <c r="I7" i="20" s="1"/>
  <c r="C8" i="20"/>
  <c r="E49" i="20" s="1"/>
  <c r="H49" i="20" s="1"/>
  <c r="D8" i="20"/>
  <c r="C9" i="20"/>
  <c r="E75" i="20" s="1"/>
  <c r="D9" i="20"/>
  <c r="C10" i="20"/>
  <c r="E10" i="20" s="1"/>
  <c r="H10" i="20" s="1"/>
  <c r="D10" i="20"/>
  <c r="C11" i="20"/>
  <c r="E57" i="20" s="1"/>
  <c r="H57" i="20" s="1"/>
  <c r="D11" i="20"/>
  <c r="C12" i="20"/>
  <c r="E12" i="20" s="1"/>
  <c r="H12" i="20" s="1"/>
  <c r="D12" i="20"/>
  <c r="C13" i="20"/>
  <c r="E41" i="20" s="1"/>
  <c r="H41" i="20" s="1"/>
  <c r="D13" i="20"/>
  <c r="C14" i="20"/>
  <c r="E14" i="20" s="1"/>
  <c r="H14" i="20" s="1"/>
  <c r="D14" i="20"/>
  <c r="C15" i="20"/>
  <c r="E15" i="20" s="1"/>
  <c r="H15" i="20" s="1"/>
  <c r="D15" i="20"/>
  <c r="C16" i="20"/>
  <c r="E16" i="20" s="1"/>
  <c r="H16" i="20" s="1"/>
  <c r="D16" i="20"/>
  <c r="C17" i="20"/>
  <c r="E46" i="20" s="1"/>
  <c r="D17" i="20"/>
  <c r="C18" i="20"/>
  <c r="E74" i="20" s="1"/>
  <c r="D18" i="20"/>
  <c r="C19" i="20"/>
  <c r="E70" i="20" s="1"/>
  <c r="D19" i="20"/>
  <c r="C20" i="20"/>
  <c r="E76" i="20" s="1"/>
  <c r="H76" i="20" s="1"/>
  <c r="D20" i="20"/>
  <c r="C21" i="20"/>
  <c r="E21" i="20" s="1"/>
  <c r="H21" i="20" s="1"/>
  <c r="D21" i="20"/>
  <c r="C22" i="20"/>
  <c r="E22" i="20" s="1"/>
  <c r="H22" i="20" s="1"/>
  <c r="D22" i="20"/>
  <c r="C23" i="20"/>
  <c r="E67" i="20" s="1"/>
  <c r="H67" i="20" s="1"/>
  <c r="D23" i="20"/>
  <c r="C24" i="20"/>
  <c r="E39" i="20" s="1"/>
  <c r="H39" i="20" s="1"/>
  <c r="D24" i="20"/>
  <c r="C25" i="20"/>
  <c r="E25" i="20" s="1"/>
  <c r="H25" i="20" s="1"/>
  <c r="D25" i="20"/>
  <c r="C26" i="20"/>
  <c r="E55" i="20" s="1"/>
  <c r="H55" i="20" s="1"/>
  <c r="D26" i="20"/>
  <c r="C27" i="20"/>
  <c r="E27" i="20" s="1"/>
  <c r="H27" i="20" s="1"/>
  <c r="D27" i="20"/>
  <c r="C28" i="20"/>
  <c r="E28" i="20" s="1"/>
  <c r="H28" i="20" s="1"/>
  <c r="D28" i="20"/>
  <c r="C29" i="20"/>
  <c r="E78" i="20" s="1"/>
  <c r="H78" i="20" s="1"/>
  <c r="D29" i="20"/>
  <c r="C30" i="20"/>
  <c r="E45" i="20" s="1"/>
  <c r="H45" i="20" s="1"/>
  <c r="D30" i="20"/>
  <c r="C31" i="20"/>
  <c r="E73" i="20" s="1"/>
  <c r="H73" i="20" s="1"/>
  <c r="D31" i="20"/>
  <c r="C32" i="20"/>
  <c r="E37" i="20" s="1"/>
  <c r="H37" i="20" s="1"/>
  <c r="D32" i="20"/>
  <c r="H10" i="6"/>
  <c r="H10" i="2"/>
  <c r="F74" i="21"/>
  <c r="I74" i="21" s="1"/>
  <c r="F73" i="21"/>
  <c r="I73" i="21" s="1"/>
  <c r="F72" i="21"/>
  <c r="I72" i="21" s="1"/>
  <c r="F60" i="21"/>
  <c r="I60" i="21" s="1"/>
  <c r="F59" i="21"/>
  <c r="I59" i="21" s="1"/>
  <c r="F48" i="21"/>
  <c r="I48" i="21" s="1"/>
  <c r="F46" i="21"/>
  <c r="I46" i="21" s="1"/>
  <c r="F45" i="21"/>
  <c r="I45" i="21" s="1"/>
  <c r="F35" i="21"/>
  <c r="I35" i="21" s="1"/>
  <c r="F34" i="21"/>
  <c r="I34" i="21" s="1"/>
  <c r="F24" i="21"/>
  <c r="I24" i="21" s="1"/>
  <c r="F23" i="21"/>
  <c r="I23" i="21" s="1"/>
  <c r="F22" i="21"/>
  <c r="I22" i="21" s="1"/>
  <c r="F12" i="21"/>
  <c r="I12" i="21" s="1"/>
  <c r="F11" i="21"/>
  <c r="I11" i="21" s="1"/>
  <c r="F10" i="21"/>
  <c r="I10" i="21" s="1"/>
  <c r="C4" i="21"/>
  <c r="C5" i="21"/>
  <c r="E34" i="21" s="1"/>
  <c r="C6" i="21"/>
  <c r="C7" i="21"/>
  <c r="E7" i="21" s="1"/>
  <c r="H7" i="21" s="1"/>
  <c r="C8" i="21"/>
  <c r="C9" i="21"/>
  <c r="C10" i="21"/>
  <c r="C11" i="21"/>
  <c r="C12" i="21"/>
  <c r="C13" i="21"/>
  <c r="C14" i="21"/>
  <c r="C15" i="21"/>
  <c r="C16" i="21"/>
  <c r="C17" i="21"/>
  <c r="C18" i="21"/>
  <c r="C19" i="21"/>
  <c r="C20" i="21"/>
  <c r="C21" i="21"/>
  <c r="C22" i="21"/>
  <c r="C23" i="21"/>
  <c r="C24" i="21"/>
  <c r="C25" i="21"/>
  <c r="C26" i="21"/>
  <c r="C27" i="21"/>
  <c r="C28" i="21"/>
  <c r="C29" i="21"/>
  <c r="C30" i="21"/>
  <c r="C31" i="21"/>
  <c r="C32" i="21"/>
  <c r="D32" i="21"/>
  <c r="F37" i="21" s="1"/>
  <c r="I37" i="21" s="1"/>
  <c r="D31" i="21"/>
  <c r="F31" i="21" s="1"/>
  <c r="I31" i="21" s="1"/>
  <c r="D30" i="21"/>
  <c r="F30" i="21" s="1"/>
  <c r="I30" i="21" s="1"/>
  <c r="D29" i="21"/>
  <c r="F29" i="21" s="1"/>
  <c r="I29" i="21" s="1"/>
  <c r="D28" i="21"/>
  <c r="F28" i="21" s="1"/>
  <c r="I28" i="21" s="1"/>
  <c r="D27" i="21"/>
  <c r="F66" i="21" s="1"/>
  <c r="I66" i="21" s="1"/>
  <c r="D26" i="21"/>
  <c r="F69" i="21" s="1"/>
  <c r="I69" i="21" s="1"/>
  <c r="D25" i="21"/>
  <c r="F51" i="21" s="1"/>
  <c r="I51" i="21" s="1"/>
  <c r="D24" i="21"/>
  <c r="F39" i="21" s="1"/>
  <c r="I39" i="21" s="1"/>
  <c r="D23" i="21"/>
  <c r="F67" i="21" s="1"/>
  <c r="I67" i="21" s="1"/>
  <c r="D22" i="21"/>
  <c r="F58" i="21" s="1"/>
  <c r="I58" i="21" s="1"/>
  <c r="D21" i="21"/>
  <c r="F44" i="21" s="1"/>
  <c r="I44" i="21" s="1"/>
  <c r="D20" i="21"/>
  <c r="F76" i="21" s="1"/>
  <c r="I76" i="21" s="1"/>
  <c r="D19" i="21"/>
  <c r="F56" i="21" s="1"/>
  <c r="I56" i="21" s="1"/>
  <c r="D18" i="21"/>
  <c r="F18" i="21" s="1"/>
  <c r="I18" i="21" s="1"/>
  <c r="D17" i="21"/>
  <c r="F17" i="21" s="1"/>
  <c r="I17" i="21" s="1"/>
  <c r="D16" i="21"/>
  <c r="F16" i="21" s="1"/>
  <c r="I16" i="21" s="1"/>
  <c r="D15" i="21"/>
  <c r="F15" i="21" s="1"/>
  <c r="I15" i="21" s="1"/>
  <c r="D14" i="21"/>
  <c r="F77" i="21" s="1"/>
  <c r="I77" i="21" s="1"/>
  <c r="D13" i="21"/>
  <c r="F41" i="21" s="1"/>
  <c r="D12" i="21"/>
  <c r="D11" i="21"/>
  <c r="F71" i="21" s="1"/>
  <c r="I71" i="21" s="1"/>
  <c r="D10" i="21"/>
  <c r="F43" i="21" s="1"/>
  <c r="I43" i="21" s="1"/>
  <c r="D9" i="21"/>
  <c r="F75" i="21" s="1"/>
  <c r="I75" i="21" s="1"/>
  <c r="D8" i="21"/>
  <c r="F49" i="21" s="1"/>
  <c r="I49" i="21" s="1"/>
  <c r="D7" i="21"/>
  <c r="F7" i="21" s="1"/>
  <c r="I7" i="21" s="1"/>
  <c r="D6" i="21"/>
  <c r="F42" i="21" s="1"/>
  <c r="I42" i="21" s="1"/>
  <c r="D5" i="21"/>
  <c r="F5" i="21" s="1"/>
  <c r="I5" i="21" s="1"/>
  <c r="D4" i="21"/>
  <c r="F40" i="21" s="1"/>
  <c r="I40" i="21" s="1"/>
  <c r="C4" i="22"/>
  <c r="D4" i="22"/>
  <c r="I40" i="22" s="1"/>
  <c r="N40" i="22" s="1"/>
  <c r="E4" i="22"/>
  <c r="J40" i="22" s="1"/>
  <c r="O40" i="22" s="1"/>
  <c r="F4" i="22"/>
  <c r="K40" i="22" s="1"/>
  <c r="P40" i="22" s="1"/>
  <c r="G4" i="22"/>
  <c r="L40" i="22" s="1"/>
  <c r="Q40" i="22" s="1"/>
  <c r="C5" i="22"/>
  <c r="H5" i="22" s="1"/>
  <c r="M5" i="22" s="1"/>
  <c r="D5" i="22"/>
  <c r="I5" i="22" s="1"/>
  <c r="N5" i="22" s="1"/>
  <c r="E5" i="22"/>
  <c r="J5" i="22" s="1"/>
  <c r="O5" i="22" s="1"/>
  <c r="F5" i="22"/>
  <c r="K5" i="22" s="1"/>
  <c r="P5" i="22" s="1"/>
  <c r="G5" i="22"/>
  <c r="L34" i="22" s="1"/>
  <c r="Q34" i="22" s="1"/>
  <c r="C6" i="22"/>
  <c r="H42" i="22" s="1"/>
  <c r="M42" i="22" s="1"/>
  <c r="D6" i="22"/>
  <c r="I42" i="22" s="1"/>
  <c r="N42" i="22" s="1"/>
  <c r="E6" i="22"/>
  <c r="J42" i="22" s="1"/>
  <c r="O42" i="22" s="1"/>
  <c r="F6" i="22"/>
  <c r="K42" i="22" s="1"/>
  <c r="P42" i="22" s="1"/>
  <c r="G6" i="22"/>
  <c r="C7" i="22"/>
  <c r="H7" i="22" s="1"/>
  <c r="M7" i="22" s="1"/>
  <c r="D7" i="22"/>
  <c r="I7" i="22" s="1"/>
  <c r="N7" i="22" s="1"/>
  <c r="E7" i="22"/>
  <c r="J7" i="22" s="1"/>
  <c r="O7" i="22" s="1"/>
  <c r="F7" i="22"/>
  <c r="K7" i="22" s="1"/>
  <c r="P7" i="22" s="1"/>
  <c r="G7" i="22"/>
  <c r="L54" i="22" s="1"/>
  <c r="Q54" i="22" s="1"/>
  <c r="C8" i="22"/>
  <c r="D8" i="22"/>
  <c r="I8" i="22" s="1"/>
  <c r="N8" i="22" s="1"/>
  <c r="E8" i="22"/>
  <c r="F8" i="22"/>
  <c r="K8" i="22" s="1"/>
  <c r="P8" i="22" s="1"/>
  <c r="G8" i="22"/>
  <c r="L8" i="22" s="1"/>
  <c r="Q8" i="22" s="1"/>
  <c r="C9" i="22"/>
  <c r="H61" i="22" s="1"/>
  <c r="M61" i="22" s="1"/>
  <c r="D9" i="22"/>
  <c r="I61" i="22" s="1"/>
  <c r="N61" i="22" s="1"/>
  <c r="E9" i="22"/>
  <c r="J61" i="22" s="1"/>
  <c r="O61" i="22" s="1"/>
  <c r="F9" i="22"/>
  <c r="K61" i="22" s="1"/>
  <c r="P61" i="22" s="1"/>
  <c r="G9" i="22"/>
  <c r="L61" i="22" s="1"/>
  <c r="Q61" i="22" s="1"/>
  <c r="C10" i="22"/>
  <c r="D10" i="22"/>
  <c r="I43" i="22" s="1"/>
  <c r="N43" i="22" s="1"/>
  <c r="E10" i="22"/>
  <c r="F10" i="22"/>
  <c r="K43" i="22" s="1"/>
  <c r="P43" i="22" s="1"/>
  <c r="G10" i="22"/>
  <c r="L43" i="22" s="1"/>
  <c r="Q43" i="22" s="1"/>
  <c r="C11" i="22"/>
  <c r="H57" i="22" s="1"/>
  <c r="M57" i="22" s="1"/>
  <c r="D11" i="22"/>
  <c r="I57" i="22" s="1"/>
  <c r="N57" i="22" s="1"/>
  <c r="E11" i="22"/>
  <c r="J57" i="22" s="1"/>
  <c r="O57" i="22" s="1"/>
  <c r="F11" i="22"/>
  <c r="K11" i="22" s="1"/>
  <c r="P11" i="22" s="1"/>
  <c r="G11" i="22"/>
  <c r="L11" i="22" s="1"/>
  <c r="Q11" i="22" s="1"/>
  <c r="C12" i="22"/>
  <c r="H48" i="22" s="1"/>
  <c r="M48" i="22" s="1"/>
  <c r="D12" i="22"/>
  <c r="I48" i="22" s="1"/>
  <c r="E12" i="22"/>
  <c r="J48" i="22" s="1"/>
  <c r="O48" i="22" s="1"/>
  <c r="F12" i="22"/>
  <c r="K48" i="22" s="1"/>
  <c r="G12" i="22"/>
  <c r="L48" i="22" s="1"/>
  <c r="Q48" i="22" s="1"/>
  <c r="C13" i="22"/>
  <c r="H41" i="22" s="1"/>
  <c r="M41" i="22" s="1"/>
  <c r="D13" i="22"/>
  <c r="I41" i="22" s="1"/>
  <c r="N41" i="22" s="1"/>
  <c r="E13" i="22"/>
  <c r="J41" i="22" s="1"/>
  <c r="O41" i="22" s="1"/>
  <c r="F13" i="22"/>
  <c r="K13" i="22" s="1"/>
  <c r="P13" i="22" s="1"/>
  <c r="G13" i="22"/>
  <c r="L13" i="22" s="1"/>
  <c r="Q13" i="22" s="1"/>
  <c r="C14" i="22"/>
  <c r="H77" i="22" s="1"/>
  <c r="M77" i="22" s="1"/>
  <c r="D14" i="22"/>
  <c r="I63" i="22" s="1"/>
  <c r="N63" i="22" s="1"/>
  <c r="E14" i="22"/>
  <c r="F14" i="22"/>
  <c r="K63" i="22" s="1"/>
  <c r="P63" i="22" s="1"/>
  <c r="G14" i="22"/>
  <c r="L63" i="22" s="1"/>
  <c r="Q63" i="22" s="1"/>
  <c r="C15" i="22"/>
  <c r="H35" i="22" s="1"/>
  <c r="M35" i="22" s="1"/>
  <c r="D15" i="22"/>
  <c r="I15" i="22" s="1"/>
  <c r="N15" i="22" s="1"/>
  <c r="E15" i="22"/>
  <c r="J15" i="22" s="1"/>
  <c r="O15" i="22" s="1"/>
  <c r="F15" i="22"/>
  <c r="K15" i="22" s="1"/>
  <c r="P15" i="22" s="1"/>
  <c r="G15" i="22"/>
  <c r="L15" i="22" s="1"/>
  <c r="Q15" i="22" s="1"/>
  <c r="C16" i="22"/>
  <c r="H16" i="22" s="1"/>
  <c r="M16" i="22" s="1"/>
  <c r="D16" i="22"/>
  <c r="I36" i="22" s="1"/>
  <c r="N36" i="22" s="1"/>
  <c r="E16" i="22"/>
  <c r="J36" i="22" s="1"/>
  <c r="O36" i="22" s="1"/>
  <c r="F16" i="22"/>
  <c r="K36" i="22" s="1"/>
  <c r="P36" i="22" s="1"/>
  <c r="G16" i="22"/>
  <c r="L36" i="22" s="1"/>
  <c r="Q36" i="22" s="1"/>
  <c r="C17" i="22"/>
  <c r="H17" i="22" s="1"/>
  <c r="M17" i="22" s="1"/>
  <c r="D17" i="22"/>
  <c r="E17" i="22"/>
  <c r="J17" i="22" s="1"/>
  <c r="O17" i="22" s="1"/>
  <c r="F17" i="22"/>
  <c r="K17" i="22" s="1"/>
  <c r="P17" i="22" s="1"/>
  <c r="G17" i="22"/>
  <c r="L17" i="22" s="1"/>
  <c r="Q17" i="22" s="1"/>
  <c r="C18" i="22"/>
  <c r="H74" i="22" s="1"/>
  <c r="M74" i="22" s="1"/>
  <c r="D18" i="22"/>
  <c r="I60" i="22" s="1"/>
  <c r="N60" i="22" s="1"/>
  <c r="E18" i="22"/>
  <c r="F18" i="22"/>
  <c r="K60" i="22" s="1"/>
  <c r="P60" i="22" s="1"/>
  <c r="G18" i="22"/>
  <c r="L60" i="22" s="1"/>
  <c r="Q60" i="22" s="1"/>
  <c r="C19" i="22"/>
  <c r="H56" i="22" s="1"/>
  <c r="M56" i="22" s="1"/>
  <c r="D19" i="22"/>
  <c r="I56" i="22" s="1"/>
  <c r="N56" i="22" s="1"/>
  <c r="E19" i="22"/>
  <c r="J56" i="22" s="1"/>
  <c r="O56" i="22" s="1"/>
  <c r="F19" i="22"/>
  <c r="K56" i="22" s="1"/>
  <c r="P56" i="22" s="1"/>
  <c r="G19" i="22"/>
  <c r="L56" i="22" s="1"/>
  <c r="Q56" i="22" s="1"/>
  <c r="C20" i="22"/>
  <c r="D20" i="22"/>
  <c r="I76" i="22" s="1"/>
  <c r="N76" i="22" s="1"/>
  <c r="E20" i="22"/>
  <c r="F20" i="22"/>
  <c r="K62" i="22" s="1"/>
  <c r="P62" i="22" s="1"/>
  <c r="G20" i="22"/>
  <c r="L62" i="22" s="1"/>
  <c r="Q62" i="22" s="1"/>
  <c r="C21" i="22"/>
  <c r="H21" i="22" s="1"/>
  <c r="M21" i="22" s="1"/>
  <c r="D21" i="22"/>
  <c r="I21" i="22" s="1"/>
  <c r="N21" i="22" s="1"/>
  <c r="E21" i="22"/>
  <c r="J21" i="22" s="1"/>
  <c r="O21" i="22" s="1"/>
  <c r="F21" i="22"/>
  <c r="K21" i="22" s="1"/>
  <c r="P21" i="22" s="1"/>
  <c r="G21" i="22"/>
  <c r="L21" i="22" s="1"/>
  <c r="Q21" i="22" s="1"/>
  <c r="C22" i="22"/>
  <c r="H72" i="22" s="1"/>
  <c r="M72" i="22" s="1"/>
  <c r="D22" i="22"/>
  <c r="I22" i="22" s="1"/>
  <c r="N22" i="22" s="1"/>
  <c r="E22" i="22"/>
  <c r="J58" i="22" s="1"/>
  <c r="O58" i="22" s="1"/>
  <c r="F22" i="22"/>
  <c r="K58" i="22" s="1"/>
  <c r="P58" i="22" s="1"/>
  <c r="G22" i="22"/>
  <c r="L58" i="22" s="1"/>
  <c r="Q58" i="22" s="1"/>
  <c r="C23" i="22"/>
  <c r="H67" i="22" s="1"/>
  <c r="M67" i="22" s="1"/>
  <c r="D23" i="22"/>
  <c r="I67" i="22" s="1"/>
  <c r="N67" i="22" s="1"/>
  <c r="E23" i="22"/>
  <c r="J67" i="22" s="1"/>
  <c r="O67" i="22" s="1"/>
  <c r="F23" i="22"/>
  <c r="K67" i="22" s="1"/>
  <c r="P67" i="22" s="1"/>
  <c r="G23" i="22"/>
  <c r="L23" i="22" s="1"/>
  <c r="Q23" i="22" s="1"/>
  <c r="C24" i="22"/>
  <c r="H39" i="22" s="1"/>
  <c r="M39" i="22" s="1"/>
  <c r="D24" i="22"/>
  <c r="I24" i="22" s="1"/>
  <c r="N24" i="22" s="1"/>
  <c r="E24" i="22"/>
  <c r="J24" i="22" s="1"/>
  <c r="O24" i="22" s="1"/>
  <c r="F24" i="22"/>
  <c r="K24" i="22" s="1"/>
  <c r="P24" i="22" s="1"/>
  <c r="G24" i="22"/>
  <c r="C25" i="22"/>
  <c r="H51" i="22" s="1"/>
  <c r="M51" i="22" s="1"/>
  <c r="D25" i="22"/>
  <c r="E25" i="22"/>
  <c r="J51" i="22" s="1"/>
  <c r="O51" i="22" s="1"/>
  <c r="F25" i="22"/>
  <c r="K51" i="22" s="1"/>
  <c r="G25" i="22"/>
  <c r="L51" i="22" s="1"/>
  <c r="Q51" i="22" s="1"/>
  <c r="C26" i="22"/>
  <c r="D26" i="22"/>
  <c r="I69" i="22" s="1"/>
  <c r="N69" i="22" s="1"/>
  <c r="E26" i="22"/>
  <c r="F26" i="22"/>
  <c r="K69" i="22" s="1"/>
  <c r="P69" i="22" s="1"/>
  <c r="G26" i="22"/>
  <c r="L69" i="22" s="1"/>
  <c r="Q69" i="22" s="1"/>
  <c r="C27" i="22"/>
  <c r="H52" i="22" s="1"/>
  <c r="M52" i="22" s="1"/>
  <c r="D27" i="22"/>
  <c r="E27" i="22"/>
  <c r="J52" i="22" s="1"/>
  <c r="O52" i="22" s="1"/>
  <c r="F27" i="22"/>
  <c r="K66" i="22" s="1"/>
  <c r="P66" i="22" s="1"/>
  <c r="G27" i="22"/>
  <c r="L66" i="22" s="1"/>
  <c r="Q66" i="22" s="1"/>
  <c r="C28" i="22"/>
  <c r="H28" i="22" s="1"/>
  <c r="M28" i="22" s="1"/>
  <c r="D28" i="22"/>
  <c r="I28" i="22" s="1"/>
  <c r="N28" i="22" s="1"/>
  <c r="E28" i="22"/>
  <c r="J28" i="22" s="1"/>
  <c r="O28" i="22" s="1"/>
  <c r="F28" i="22"/>
  <c r="K28" i="22" s="1"/>
  <c r="P28" i="22" s="1"/>
  <c r="G28" i="22"/>
  <c r="L28" i="22" s="1"/>
  <c r="Q28" i="22" s="1"/>
  <c r="C29" i="22"/>
  <c r="H64" i="22" s="1"/>
  <c r="M64" i="22" s="1"/>
  <c r="D29" i="22"/>
  <c r="I64" i="22" s="1"/>
  <c r="N64" i="22" s="1"/>
  <c r="E29" i="22"/>
  <c r="J78" i="22" s="1"/>
  <c r="O78" i="22" s="1"/>
  <c r="F29" i="22"/>
  <c r="K29" i="22" s="1"/>
  <c r="P29" i="22" s="1"/>
  <c r="G29" i="22"/>
  <c r="L78" i="22" s="1"/>
  <c r="Q78" i="22" s="1"/>
  <c r="C30" i="22"/>
  <c r="H45" i="22" s="1"/>
  <c r="M45" i="22" s="1"/>
  <c r="D30" i="22"/>
  <c r="I45" i="22" s="1"/>
  <c r="N45" i="22" s="1"/>
  <c r="E30" i="22"/>
  <c r="J45" i="22" s="1"/>
  <c r="O45" i="22" s="1"/>
  <c r="F30" i="22"/>
  <c r="K45" i="22" s="1"/>
  <c r="P45" i="22" s="1"/>
  <c r="G30" i="22"/>
  <c r="C31" i="22"/>
  <c r="H59" i="22" s="1"/>
  <c r="M59" i="22" s="1"/>
  <c r="D31" i="22"/>
  <c r="I59" i="22" s="1"/>
  <c r="N59" i="22" s="1"/>
  <c r="E31" i="22"/>
  <c r="J59" i="22" s="1"/>
  <c r="O59" i="22" s="1"/>
  <c r="F31" i="22"/>
  <c r="K31" i="22" s="1"/>
  <c r="P31" i="22" s="1"/>
  <c r="G31" i="22"/>
  <c r="L73" i="22" s="1"/>
  <c r="Q73" i="22" s="1"/>
  <c r="C32" i="22"/>
  <c r="D32" i="22"/>
  <c r="I32" i="22" s="1"/>
  <c r="N32" i="22" s="1"/>
  <c r="E32" i="22"/>
  <c r="J32" i="22" s="1"/>
  <c r="O32" i="22" s="1"/>
  <c r="F32" i="22"/>
  <c r="K32" i="22" s="1"/>
  <c r="P32" i="22" s="1"/>
  <c r="G32" i="22"/>
  <c r="L32" i="22" s="1"/>
  <c r="Q32" i="22" s="1"/>
  <c r="G32" i="19"/>
  <c r="L37" i="19" s="1"/>
  <c r="F32" i="19"/>
  <c r="K37" i="19" s="1"/>
  <c r="E32" i="19"/>
  <c r="J37" i="19" s="1"/>
  <c r="D32" i="19"/>
  <c r="I37" i="19" s="1"/>
  <c r="C32" i="19"/>
  <c r="G31" i="19"/>
  <c r="L73" i="19" s="1"/>
  <c r="Q73" i="19" s="1"/>
  <c r="F31" i="19"/>
  <c r="K73" i="19" s="1"/>
  <c r="P73" i="19" s="1"/>
  <c r="E31" i="19"/>
  <c r="J73" i="19" s="1"/>
  <c r="O73" i="19" s="1"/>
  <c r="D31" i="19"/>
  <c r="I73" i="19" s="1"/>
  <c r="N73" i="19" s="1"/>
  <c r="C31" i="19"/>
  <c r="H73" i="19" s="1"/>
  <c r="M73" i="19" s="1"/>
  <c r="G30" i="19"/>
  <c r="L45" i="19" s="1"/>
  <c r="F30" i="19"/>
  <c r="K45" i="19" s="1"/>
  <c r="E30" i="19"/>
  <c r="J45" i="19" s="1"/>
  <c r="D30" i="19"/>
  <c r="I45" i="19" s="1"/>
  <c r="C30" i="19"/>
  <c r="G29" i="19"/>
  <c r="L78" i="19" s="1"/>
  <c r="Q78" i="19" s="1"/>
  <c r="F29" i="19"/>
  <c r="K78" i="19" s="1"/>
  <c r="P78" i="19" s="1"/>
  <c r="E29" i="19"/>
  <c r="J78" i="19" s="1"/>
  <c r="O78" i="19" s="1"/>
  <c r="D29" i="19"/>
  <c r="I78" i="19" s="1"/>
  <c r="N78" i="19" s="1"/>
  <c r="C29" i="19"/>
  <c r="H78" i="19" s="1"/>
  <c r="M78" i="19" s="1"/>
  <c r="G28" i="19"/>
  <c r="L38" i="19" s="1"/>
  <c r="F28" i="19"/>
  <c r="K38" i="19" s="1"/>
  <c r="E28" i="19"/>
  <c r="J38" i="19" s="1"/>
  <c r="D28" i="19"/>
  <c r="I38" i="19" s="1"/>
  <c r="C28" i="19"/>
  <c r="G27" i="19"/>
  <c r="L66" i="19" s="1"/>
  <c r="Q66" i="19" s="1"/>
  <c r="F27" i="19"/>
  <c r="K66" i="19" s="1"/>
  <c r="P66" i="19" s="1"/>
  <c r="E27" i="19"/>
  <c r="J66" i="19" s="1"/>
  <c r="O66" i="19" s="1"/>
  <c r="D27" i="19"/>
  <c r="I66" i="19" s="1"/>
  <c r="N66" i="19" s="1"/>
  <c r="C27" i="19"/>
  <c r="H66" i="19" s="1"/>
  <c r="M66" i="19" s="1"/>
  <c r="G26" i="19"/>
  <c r="L69" i="19" s="1"/>
  <c r="Q69" i="19" s="1"/>
  <c r="F26" i="19"/>
  <c r="K69" i="19" s="1"/>
  <c r="P69" i="19" s="1"/>
  <c r="E26" i="19"/>
  <c r="J69" i="19" s="1"/>
  <c r="O69" i="19" s="1"/>
  <c r="D26" i="19"/>
  <c r="I69" i="19" s="1"/>
  <c r="N69" i="19" s="1"/>
  <c r="C26" i="19"/>
  <c r="H69" i="19" s="1"/>
  <c r="M69" i="19" s="1"/>
  <c r="G25" i="19"/>
  <c r="L51" i="19" s="1"/>
  <c r="F25" i="19"/>
  <c r="K51" i="19" s="1"/>
  <c r="E25" i="19"/>
  <c r="J51" i="19" s="1"/>
  <c r="D25" i="19"/>
  <c r="I51" i="19" s="1"/>
  <c r="C25" i="19"/>
  <c r="G24" i="19"/>
  <c r="L39" i="19" s="1"/>
  <c r="F24" i="19"/>
  <c r="K39" i="19" s="1"/>
  <c r="E24" i="19"/>
  <c r="J39" i="19" s="1"/>
  <c r="D24" i="19"/>
  <c r="I39" i="19" s="1"/>
  <c r="C24" i="19"/>
  <c r="G23" i="19"/>
  <c r="L67" i="19" s="1"/>
  <c r="Q67" i="19" s="1"/>
  <c r="F23" i="19"/>
  <c r="K67" i="19" s="1"/>
  <c r="P67" i="19" s="1"/>
  <c r="E23" i="19"/>
  <c r="J67" i="19" s="1"/>
  <c r="O67" i="19" s="1"/>
  <c r="D23" i="19"/>
  <c r="I67" i="19" s="1"/>
  <c r="N67" i="19" s="1"/>
  <c r="C23" i="19"/>
  <c r="H67" i="19" s="1"/>
  <c r="M67" i="19" s="1"/>
  <c r="G22" i="19"/>
  <c r="L72" i="19" s="1"/>
  <c r="Q72" i="19" s="1"/>
  <c r="F22" i="19"/>
  <c r="K72" i="19" s="1"/>
  <c r="P72" i="19" s="1"/>
  <c r="E22" i="19"/>
  <c r="J72" i="19" s="1"/>
  <c r="O72" i="19" s="1"/>
  <c r="D22" i="19"/>
  <c r="I72" i="19" s="1"/>
  <c r="N72" i="19" s="1"/>
  <c r="C22" i="19"/>
  <c r="H72" i="19" s="1"/>
  <c r="M72" i="19" s="1"/>
  <c r="G21" i="19"/>
  <c r="L44" i="19" s="1"/>
  <c r="F21" i="19"/>
  <c r="K44" i="19" s="1"/>
  <c r="E21" i="19"/>
  <c r="J44" i="19" s="1"/>
  <c r="D21" i="19"/>
  <c r="I44" i="19" s="1"/>
  <c r="C21" i="19"/>
  <c r="G20" i="19"/>
  <c r="L76" i="19" s="1"/>
  <c r="Q76" i="19" s="1"/>
  <c r="F20" i="19"/>
  <c r="K76" i="19" s="1"/>
  <c r="P76" i="19" s="1"/>
  <c r="E20" i="19"/>
  <c r="J76" i="19" s="1"/>
  <c r="O76" i="19" s="1"/>
  <c r="D20" i="19"/>
  <c r="I76" i="19" s="1"/>
  <c r="N76" i="19" s="1"/>
  <c r="C20" i="19"/>
  <c r="G19" i="19"/>
  <c r="L70" i="19" s="1"/>
  <c r="Q70" i="19" s="1"/>
  <c r="F19" i="19"/>
  <c r="K70" i="19" s="1"/>
  <c r="P70" i="19" s="1"/>
  <c r="E19" i="19"/>
  <c r="J70" i="19" s="1"/>
  <c r="O70" i="19" s="1"/>
  <c r="D19" i="19"/>
  <c r="I70" i="19" s="1"/>
  <c r="N70" i="19" s="1"/>
  <c r="C19" i="19"/>
  <c r="H70" i="19" s="1"/>
  <c r="M70" i="19" s="1"/>
  <c r="G18" i="19"/>
  <c r="L74" i="19" s="1"/>
  <c r="Q74" i="19" s="1"/>
  <c r="F18" i="19"/>
  <c r="K74" i="19" s="1"/>
  <c r="P74" i="19" s="1"/>
  <c r="E18" i="19"/>
  <c r="J74" i="19" s="1"/>
  <c r="O74" i="19" s="1"/>
  <c r="D18" i="19"/>
  <c r="I74" i="19" s="1"/>
  <c r="N74" i="19" s="1"/>
  <c r="C18" i="19"/>
  <c r="H74" i="19" s="1"/>
  <c r="M74" i="19" s="1"/>
  <c r="G17" i="19"/>
  <c r="L46" i="19" s="1"/>
  <c r="F17" i="19"/>
  <c r="K46" i="19" s="1"/>
  <c r="E17" i="19"/>
  <c r="J46" i="19" s="1"/>
  <c r="D17" i="19"/>
  <c r="I46" i="19" s="1"/>
  <c r="C17" i="19"/>
  <c r="G16" i="19"/>
  <c r="L36" i="19" s="1"/>
  <c r="F16" i="19"/>
  <c r="K36" i="19" s="1"/>
  <c r="E16" i="19"/>
  <c r="J36" i="19" s="1"/>
  <c r="D16" i="19"/>
  <c r="I36" i="19" s="1"/>
  <c r="C16" i="19"/>
  <c r="G15" i="19"/>
  <c r="L35" i="19" s="1"/>
  <c r="F15" i="19"/>
  <c r="K35" i="19" s="1"/>
  <c r="E15" i="19"/>
  <c r="J35" i="19" s="1"/>
  <c r="D15" i="19"/>
  <c r="I35" i="19" s="1"/>
  <c r="C15" i="19"/>
  <c r="G14" i="19"/>
  <c r="L77" i="19" s="1"/>
  <c r="Q77" i="19" s="1"/>
  <c r="F14" i="19"/>
  <c r="K77" i="19" s="1"/>
  <c r="P77" i="19" s="1"/>
  <c r="E14" i="19"/>
  <c r="J77" i="19" s="1"/>
  <c r="O77" i="19" s="1"/>
  <c r="D14" i="19"/>
  <c r="I77" i="19" s="1"/>
  <c r="N77" i="19" s="1"/>
  <c r="C14" i="19"/>
  <c r="H77" i="19" s="1"/>
  <c r="M77" i="19" s="1"/>
  <c r="G13" i="19"/>
  <c r="L41" i="19" s="1"/>
  <c r="F13" i="19"/>
  <c r="K41" i="19" s="1"/>
  <c r="E13" i="19"/>
  <c r="J41" i="19" s="1"/>
  <c r="D13" i="19"/>
  <c r="I41" i="19" s="1"/>
  <c r="C13" i="19"/>
  <c r="G12" i="19"/>
  <c r="L48" i="19" s="1"/>
  <c r="F12" i="19"/>
  <c r="K48" i="19" s="1"/>
  <c r="E12" i="19"/>
  <c r="J48" i="19" s="1"/>
  <c r="D12" i="19"/>
  <c r="I48" i="19" s="1"/>
  <c r="C12" i="19"/>
  <c r="G11" i="19"/>
  <c r="L71" i="19" s="1"/>
  <c r="Q71" i="19" s="1"/>
  <c r="F11" i="19"/>
  <c r="K71" i="19" s="1"/>
  <c r="P71" i="19" s="1"/>
  <c r="E11" i="19"/>
  <c r="J71" i="19" s="1"/>
  <c r="O71" i="19" s="1"/>
  <c r="D11" i="19"/>
  <c r="I71" i="19" s="1"/>
  <c r="N71" i="19" s="1"/>
  <c r="C11" i="19"/>
  <c r="H71" i="19" s="1"/>
  <c r="M71" i="19" s="1"/>
  <c r="G10" i="19"/>
  <c r="L43" i="19" s="1"/>
  <c r="F10" i="19"/>
  <c r="K43" i="19" s="1"/>
  <c r="E10" i="19"/>
  <c r="J43" i="19" s="1"/>
  <c r="D10" i="19"/>
  <c r="I43" i="19" s="1"/>
  <c r="C10" i="19"/>
  <c r="G9" i="19"/>
  <c r="L75" i="19" s="1"/>
  <c r="Q75" i="19" s="1"/>
  <c r="F9" i="19"/>
  <c r="E9" i="19"/>
  <c r="J75" i="19" s="1"/>
  <c r="O75" i="19" s="1"/>
  <c r="D9" i="19"/>
  <c r="C9" i="19"/>
  <c r="H75" i="19" s="1"/>
  <c r="M75" i="19" s="1"/>
  <c r="G8" i="19"/>
  <c r="L49" i="19" s="1"/>
  <c r="F8" i="19"/>
  <c r="K49" i="19" s="1"/>
  <c r="E8" i="19"/>
  <c r="J49" i="19" s="1"/>
  <c r="D8" i="19"/>
  <c r="I49" i="19" s="1"/>
  <c r="C8" i="19"/>
  <c r="G7" i="19"/>
  <c r="F7" i="19"/>
  <c r="K68" i="19" s="1"/>
  <c r="P68" i="19" s="1"/>
  <c r="E7" i="19"/>
  <c r="D7" i="19"/>
  <c r="I68" i="19" s="1"/>
  <c r="N68" i="19" s="1"/>
  <c r="C7" i="19"/>
  <c r="H68" i="19" s="1"/>
  <c r="M68" i="19" s="1"/>
  <c r="G6" i="19"/>
  <c r="L42" i="19" s="1"/>
  <c r="F6" i="19"/>
  <c r="K42" i="19" s="1"/>
  <c r="E6" i="19"/>
  <c r="J42" i="19" s="1"/>
  <c r="D6" i="19"/>
  <c r="I42" i="19" s="1"/>
  <c r="C6" i="19"/>
  <c r="G4" i="19"/>
  <c r="L40" i="19" s="1"/>
  <c r="F4" i="19"/>
  <c r="K40" i="19" s="1"/>
  <c r="E4" i="19"/>
  <c r="J40" i="19" s="1"/>
  <c r="D4" i="19"/>
  <c r="I40" i="19" s="1"/>
  <c r="C4" i="19"/>
  <c r="G5" i="19"/>
  <c r="L34" i="19" s="1"/>
  <c r="F5" i="19"/>
  <c r="K34" i="19" s="1"/>
  <c r="E5" i="19"/>
  <c r="J34" i="19" s="1"/>
  <c r="D5" i="19"/>
  <c r="I34" i="19" s="1"/>
  <c r="C5" i="19"/>
  <c r="H5" i="19" s="1"/>
  <c r="E18" i="20" l="1"/>
  <c r="H18" i="20" s="1"/>
  <c r="E30" i="20"/>
  <c r="H30" i="20" s="1"/>
  <c r="E43" i="20"/>
  <c r="H43" i="20" s="1"/>
  <c r="E8" i="20"/>
  <c r="H8" i="20" s="1"/>
  <c r="E20" i="20"/>
  <c r="H20" i="20" s="1"/>
  <c r="E32" i="20"/>
  <c r="H32" i="20" s="1"/>
  <c r="E59" i="20"/>
  <c r="H59" i="20" s="1"/>
  <c r="E72" i="20"/>
  <c r="H72" i="20" s="1"/>
  <c r="E9" i="20"/>
  <c r="H9" i="20" s="1"/>
  <c r="E60" i="20"/>
  <c r="E35" i="20"/>
  <c r="H35" i="20" s="1"/>
  <c r="E48" i="20"/>
  <c r="E47" i="20" s="1"/>
  <c r="H47" i="20" s="1"/>
  <c r="E61" i="20"/>
  <c r="H61" i="20" s="1"/>
  <c r="E23" i="20"/>
  <c r="H23" i="20" s="1"/>
  <c r="E36" i="20"/>
  <c r="E62" i="20"/>
  <c r="E24" i="20"/>
  <c r="H24" i="20" s="1"/>
  <c r="E51" i="20"/>
  <c r="E63" i="20"/>
  <c r="H63" i="20" s="1"/>
  <c r="E13" i="20"/>
  <c r="H13" i="20" s="1"/>
  <c r="E38" i="20"/>
  <c r="E33" i="20" s="1"/>
  <c r="H33" i="20" s="1"/>
  <c r="E52" i="20"/>
  <c r="E64" i="20"/>
  <c r="E77" i="20"/>
  <c r="H77" i="20" s="1"/>
  <c r="E26" i="20"/>
  <c r="H26" i="20" s="1"/>
  <c r="E53" i="20"/>
  <c r="H53" i="20" s="1"/>
  <c r="E66" i="20"/>
  <c r="E40" i="20"/>
  <c r="F8" i="21"/>
  <c r="I8" i="21" s="1"/>
  <c r="F20" i="21"/>
  <c r="I20" i="21" s="1"/>
  <c r="F57" i="21"/>
  <c r="I57" i="21" s="1"/>
  <c r="F70" i="21"/>
  <c r="I70" i="21" s="1"/>
  <c r="F9" i="21"/>
  <c r="I9" i="21" s="1"/>
  <c r="F21" i="21"/>
  <c r="I21" i="21" s="1"/>
  <c r="F32" i="21"/>
  <c r="I32" i="21" s="1"/>
  <c r="G8" i="21"/>
  <c r="J8" i="21" s="1"/>
  <c r="F61" i="21"/>
  <c r="I61" i="21" s="1"/>
  <c r="F13" i="21"/>
  <c r="I13" i="21" s="1"/>
  <c r="F25" i="21"/>
  <c r="I25" i="21" s="1"/>
  <c r="F36" i="21"/>
  <c r="I36" i="21" s="1"/>
  <c r="F62" i="21"/>
  <c r="I62" i="21" s="1"/>
  <c r="F14" i="21"/>
  <c r="I14" i="21" s="1"/>
  <c r="F26" i="21"/>
  <c r="I26" i="21" s="1"/>
  <c r="F63" i="21"/>
  <c r="I63" i="21" s="1"/>
  <c r="G4" i="21"/>
  <c r="J4" i="21" s="1"/>
  <c r="F27" i="21"/>
  <c r="I27" i="21" s="1"/>
  <c r="F38" i="21"/>
  <c r="I38" i="21" s="1"/>
  <c r="F52" i="21"/>
  <c r="I52" i="21" s="1"/>
  <c r="F64" i="21"/>
  <c r="I64" i="21" s="1"/>
  <c r="F4" i="21"/>
  <c r="I4" i="21" s="1"/>
  <c r="F53" i="21"/>
  <c r="I53" i="21" s="1"/>
  <c r="F78" i="21"/>
  <c r="I78" i="21" s="1"/>
  <c r="F54" i="21"/>
  <c r="I54" i="21" s="1"/>
  <c r="F6" i="21"/>
  <c r="I6" i="21" s="1"/>
  <c r="F55" i="21"/>
  <c r="I55" i="21" s="1"/>
  <c r="F68" i="21"/>
  <c r="I68" i="21" s="1"/>
  <c r="F19" i="21"/>
  <c r="I19" i="21" s="1"/>
  <c r="I14" i="22"/>
  <c r="N14" i="22" s="1"/>
  <c r="J27" i="22"/>
  <c r="O27" i="22" s="1"/>
  <c r="I49" i="22"/>
  <c r="N49" i="22" s="1"/>
  <c r="I62" i="22"/>
  <c r="N62" i="22" s="1"/>
  <c r="H68" i="22"/>
  <c r="M68" i="22" s="1"/>
  <c r="I74" i="22"/>
  <c r="N74" i="22" s="1"/>
  <c r="K57" i="22"/>
  <c r="P57" i="22" s="1"/>
  <c r="H12" i="22"/>
  <c r="M12" i="22" s="1"/>
  <c r="H25" i="22"/>
  <c r="M25" i="22" s="1"/>
  <c r="I20" i="22"/>
  <c r="N20" i="22" s="1"/>
  <c r="I35" i="22"/>
  <c r="N35" i="22" s="1"/>
  <c r="H27" i="22"/>
  <c r="M27" i="22" s="1"/>
  <c r="H46" i="22"/>
  <c r="M46" i="22" s="1"/>
  <c r="I55" i="22"/>
  <c r="N55" i="22" s="1"/>
  <c r="L31" i="22"/>
  <c r="Q31" i="22" s="1"/>
  <c r="H60" i="22"/>
  <c r="M60" i="22" s="1"/>
  <c r="L7" i="22"/>
  <c r="Q7" i="22" s="1"/>
  <c r="J64" i="22"/>
  <c r="O64" i="22" s="1"/>
  <c r="I10" i="22"/>
  <c r="N10" i="22" s="1"/>
  <c r="L64" i="22"/>
  <c r="Q64" i="22" s="1"/>
  <c r="I17" i="22"/>
  <c r="N17" i="22" s="1"/>
  <c r="I46" i="22"/>
  <c r="N46" i="22" s="1"/>
  <c r="I61" i="19"/>
  <c r="I75" i="19"/>
  <c r="N75" i="19" s="1"/>
  <c r="J54" i="19"/>
  <c r="J68" i="19"/>
  <c r="O68" i="19" s="1"/>
  <c r="H62" i="19"/>
  <c r="M62" i="19" s="1"/>
  <c r="H76" i="19"/>
  <c r="M76" i="19" s="1"/>
  <c r="H37" i="22"/>
  <c r="M37" i="22" s="1"/>
  <c r="H32" i="22"/>
  <c r="M32" i="22" s="1"/>
  <c r="K78" i="22"/>
  <c r="P78" i="22" s="1"/>
  <c r="K64" i="22"/>
  <c r="P64" i="22" s="1"/>
  <c r="I52" i="22"/>
  <c r="N52" i="22" s="1"/>
  <c r="I27" i="22"/>
  <c r="N27" i="22" s="1"/>
  <c r="L39" i="22"/>
  <c r="Q39" i="22" s="1"/>
  <c r="L24" i="22"/>
  <c r="Q24" i="22" s="1"/>
  <c r="H20" i="22"/>
  <c r="M20" i="22" s="1"/>
  <c r="H62" i="22"/>
  <c r="M62" i="22" s="1"/>
  <c r="J43" i="22"/>
  <c r="O43" i="22" s="1"/>
  <c r="J10" i="22"/>
  <c r="O10" i="22" s="1"/>
  <c r="H49" i="22"/>
  <c r="M49" i="22" s="1"/>
  <c r="H8" i="22"/>
  <c r="M8" i="22" s="1"/>
  <c r="K52" i="22"/>
  <c r="P52" i="22" s="1"/>
  <c r="F73" i="20"/>
  <c r="I73" i="20" s="1"/>
  <c r="F59" i="20"/>
  <c r="I59" i="20" s="1"/>
  <c r="F31" i="20"/>
  <c r="I31" i="20" s="1"/>
  <c r="G31" i="20"/>
  <c r="J31" i="20" s="1"/>
  <c r="F62" i="20"/>
  <c r="I62" i="20" s="1"/>
  <c r="G20" i="20"/>
  <c r="J20" i="20" s="1"/>
  <c r="F20" i="20"/>
  <c r="I20" i="20" s="1"/>
  <c r="F76" i="20"/>
  <c r="I76" i="20" s="1"/>
  <c r="G15" i="20"/>
  <c r="J15" i="20" s="1"/>
  <c r="F35" i="20"/>
  <c r="I35" i="20" s="1"/>
  <c r="F15" i="20"/>
  <c r="I15" i="20" s="1"/>
  <c r="F30" i="20"/>
  <c r="I30" i="20" s="1"/>
  <c r="G30" i="20"/>
  <c r="J30" i="20" s="1"/>
  <c r="F45" i="20"/>
  <c r="I45" i="20" s="1"/>
  <c r="G28" i="20"/>
  <c r="J28" i="20" s="1"/>
  <c r="F28" i="20"/>
  <c r="I28" i="20" s="1"/>
  <c r="F38" i="20"/>
  <c r="I38" i="20" s="1"/>
  <c r="G26" i="20"/>
  <c r="J26" i="20" s="1"/>
  <c r="F69" i="20"/>
  <c r="I69" i="20" s="1"/>
  <c r="F55" i="20"/>
  <c r="I55" i="20" s="1"/>
  <c r="F26" i="20"/>
  <c r="I26" i="20" s="1"/>
  <c r="G22" i="20"/>
  <c r="J22" i="20" s="1"/>
  <c r="F72" i="20"/>
  <c r="I72" i="20" s="1"/>
  <c r="F58" i="20"/>
  <c r="I58" i="20" s="1"/>
  <c r="F22" i="20"/>
  <c r="I22" i="20" s="1"/>
  <c r="F70" i="20"/>
  <c r="I70" i="20" s="1"/>
  <c r="F56" i="20"/>
  <c r="I56" i="20" s="1"/>
  <c r="G19" i="20"/>
  <c r="J19" i="20" s="1"/>
  <c r="F19" i="20"/>
  <c r="I19" i="20" s="1"/>
  <c r="G14" i="20"/>
  <c r="J14" i="20" s="1"/>
  <c r="F77" i="20"/>
  <c r="I77" i="20" s="1"/>
  <c r="F63" i="20"/>
  <c r="I63" i="20" s="1"/>
  <c r="F14" i="20"/>
  <c r="I14" i="20" s="1"/>
  <c r="J12" i="22"/>
  <c r="O12" i="22" s="1"/>
  <c r="K59" i="22"/>
  <c r="P59" i="22" s="1"/>
  <c r="L54" i="19"/>
  <c r="L68" i="19"/>
  <c r="Q68" i="19" s="1"/>
  <c r="J69" i="22"/>
  <c r="O69" i="22" s="1"/>
  <c r="J55" i="22"/>
  <c r="O55" i="22" s="1"/>
  <c r="J63" i="22"/>
  <c r="O63" i="22" s="1"/>
  <c r="J14" i="22"/>
  <c r="O14" i="22" s="1"/>
  <c r="H43" i="22"/>
  <c r="M43" i="22" s="1"/>
  <c r="H10" i="22"/>
  <c r="M10" i="22" s="1"/>
  <c r="J16" i="22"/>
  <c r="O16" i="22" s="1"/>
  <c r="K35" i="22"/>
  <c r="P35" i="22" s="1"/>
  <c r="L30" i="22"/>
  <c r="Q30" i="22" s="1"/>
  <c r="L45" i="22"/>
  <c r="Q45" i="22" s="1"/>
  <c r="H69" i="22"/>
  <c r="M69" i="22" s="1"/>
  <c r="H55" i="22"/>
  <c r="M55" i="22" s="1"/>
  <c r="H63" i="22"/>
  <c r="M63" i="22" s="1"/>
  <c r="H14" i="22"/>
  <c r="M14" i="22" s="1"/>
  <c r="L42" i="22"/>
  <c r="Q42" i="22" s="1"/>
  <c r="L6" i="22"/>
  <c r="Q6" i="22" s="1"/>
  <c r="H18" i="22"/>
  <c r="M18" i="22" s="1"/>
  <c r="J37" i="22"/>
  <c r="G32" i="20"/>
  <c r="J32" i="20" s="1"/>
  <c r="F37" i="20"/>
  <c r="I37" i="20" s="1"/>
  <c r="F32" i="20"/>
  <c r="I32" i="20" s="1"/>
  <c r="F39" i="20"/>
  <c r="I39" i="20" s="1"/>
  <c r="G24" i="20"/>
  <c r="J24" i="20" s="1"/>
  <c r="F24" i="20"/>
  <c r="I24" i="20" s="1"/>
  <c r="J39" i="22"/>
  <c r="O39" i="22" s="1"/>
  <c r="J60" i="22"/>
  <c r="O60" i="22" s="1"/>
  <c r="J18" i="22"/>
  <c r="O18" i="22" s="1"/>
  <c r="H40" i="22"/>
  <c r="M40" i="22" s="1"/>
  <c r="H4" i="22"/>
  <c r="M4" i="22" s="1"/>
  <c r="J22" i="22"/>
  <c r="O22" i="22" s="1"/>
  <c r="K41" i="22"/>
  <c r="P41" i="22" s="1"/>
  <c r="L4" i="22"/>
  <c r="Q4" i="22" s="1"/>
  <c r="L22" i="22"/>
  <c r="Q22" i="22" s="1"/>
  <c r="I44" i="22"/>
  <c r="N44" i="22" s="1"/>
  <c r="I70" i="22"/>
  <c r="N70" i="22" s="1"/>
  <c r="K61" i="19"/>
  <c r="K75" i="19"/>
  <c r="P75" i="19" s="1"/>
  <c r="I51" i="22"/>
  <c r="N51" i="22" s="1"/>
  <c r="I25" i="22"/>
  <c r="N25" i="22" s="1"/>
  <c r="J76" i="22"/>
  <c r="O76" i="22" s="1"/>
  <c r="J20" i="22"/>
  <c r="O20" i="22" s="1"/>
  <c r="J62" i="22"/>
  <c r="O62" i="22" s="1"/>
  <c r="J8" i="22"/>
  <c r="O8" i="22" s="1"/>
  <c r="J49" i="22"/>
  <c r="O49" i="22" s="1"/>
  <c r="H6" i="22"/>
  <c r="M6" i="22" s="1"/>
  <c r="J72" i="22"/>
  <c r="O72" i="22" s="1"/>
  <c r="G29" i="20"/>
  <c r="J29" i="20" s="1"/>
  <c r="F78" i="20"/>
  <c r="I78" i="20" s="1"/>
  <c r="F64" i="20"/>
  <c r="I64" i="20" s="1"/>
  <c r="F29" i="20"/>
  <c r="I29" i="20" s="1"/>
  <c r="G17" i="20"/>
  <c r="J17" i="20" s="1"/>
  <c r="F46" i="20"/>
  <c r="I46" i="20" s="1"/>
  <c r="F17" i="20"/>
  <c r="I17" i="20" s="1"/>
  <c r="G5" i="20"/>
  <c r="J5" i="20" s="1"/>
  <c r="F34" i="20"/>
  <c r="I34" i="20" s="1"/>
  <c r="F5" i="20"/>
  <c r="I5" i="20" s="1"/>
  <c r="L5" i="22"/>
  <c r="Q5" i="22" s="1"/>
  <c r="J35" i="22"/>
  <c r="O35" i="22" s="1"/>
  <c r="K72" i="22"/>
  <c r="P72" i="22" s="1"/>
  <c r="I37" i="22"/>
  <c r="N37" i="22" s="1"/>
  <c r="K76" i="22"/>
  <c r="P76" i="22" s="1"/>
  <c r="F49" i="20"/>
  <c r="I49" i="20" s="1"/>
  <c r="G8" i="20"/>
  <c r="J8" i="20" s="1"/>
  <c r="F8" i="20"/>
  <c r="I8" i="20" s="1"/>
  <c r="I47" i="22"/>
  <c r="N47" i="22" s="1"/>
  <c r="K16" i="22"/>
  <c r="P16" i="22" s="1"/>
  <c r="I39" i="22"/>
  <c r="N39" i="22" s="1"/>
  <c r="G11" i="20"/>
  <c r="J11" i="20" s="1"/>
  <c r="F71" i="20"/>
  <c r="I71" i="20" s="1"/>
  <c r="F57" i="20"/>
  <c r="I57" i="20" s="1"/>
  <c r="F61" i="20"/>
  <c r="I61" i="20" s="1"/>
  <c r="G9" i="20"/>
  <c r="J9" i="20" s="1"/>
  <c r="F75" i="20"/>
  <c r="I75" i="20" s="1"/>
  <c r="F9" i="20"/>
  <c r="I9" i="20" s="1"/>
  <c r="J29" i="22"/>
  <c r="O29" i="22" s="1"/>
  <c r="K39" i="22"/>
  <c r="P39" i="22" s="1"/>
  <c r="L67" i="22"/>
  <c r="Q67" i="22" s="1"/>
  <c r="F11" i="20"/>
  <c r="I11" i="20" s="1"/>
  <c r="F51" i="20"/>
  <c r="I51" i="20" s="1"/>
  <c r="G25" i="20"/>
  <c r="J25" i="20" s="1"/>
  <c r="F25" i="20"/>
  <c r="I25" i="20" s="1"/>
  <c r="G21" i="20"/>
  <c r="J21" i="20" s="1"/>
  <c r="F44" i="20"/>
  <c r="I44" i="20" s="1"/>
  <c r="F21" i="20"/>
  <c r="I21" i="20" s="1"/>
  <c r="G16" i="20"/>
  <c r="J16" i="20" s="1"/>
  <c r="F36" i="20"/>
  <c r="I36" i="20" s="1"/>
  <c r="F16" i="20"/>
  <c r="I16" i="20" s="1"/>
  <c r="F41" i="20"/>
  <c r="I41" i="20" s="1"/>
  <c r="G13" i="20"/>
  <c r="J13" i="20" s="1"/>
  <c r="F13" i="20"/>
  <c r="I13" i="20" s="1"/>
  <c r="F48" i="20"/>
  <c r="I48" i="20" s="1"/>
  <c r="G12" i="20"/>
  <c r="J12" i="20" s="1"/>
  <c r="F12" i="20"/>
  <c r="I12" i="20" s="1"/>
  <c r="G10" i="20"/>
  <c r="J10" i="20" s="1"/>
  <c r="F43" i="20"/>
  <c r="I43" i="20" s="1"/>
  <c r="F10" i="20"/>
  <c r="I10" i="20" s="1"/>
  <c r="L29" i="22"/>
  <c r="Q29" i="22" s="1"/>
  <c r="L57" i="22"/>
  <c r="Q57" i="22" s="1"/>
  <c r="H70" i="22"/>
  <c r="M70" i="22" s="1"/>
  <c r="F54" i="20"/>
  <c r="I54" i="20" s="1"/>
  <c r="F68" i="20"/>
  <c r="I68" i="20" s="1"/>
  <c r="G7" i="20"/>
  <c r="J7" i="20" s="1"/>
  <c r="I12" i="22"/>
  <c r="N12" i="22" s="1"/>
  <c r="K22" i="22"/>
  <c r="P22" i="22" s="1"/>
  <c r="L59" i="22"/>
  <c r="Q59" i="22" s="1"/>
  <c r="I72" i="22"/>
  <c r="N72" i="22" s="1"/>
  <c r="F52" i="20"/>
  <c r="I52" i="20" s="1"/>
  <c r="G27" i="20"/>
  <c r="J27" i="20" s="1"/>
  <c r="F27" i="20"/>
  <c r="I27" i="20" s="1"/>
  <c r="F66" i="20"/>
  <c r="I66" i="20" s="1"/>
  <c r="G23" i="20"/>
  <c r="J23" i="20" s="1"/>
  <c r="F53" i="20"/>
  <c r="I53" i="20" s="1"/>
  <c r="F67" i="20"/>
  <c r="I67" i="20" s="1"/>
  <c r="F23" i="20"/>
  <c r="I23" i="20" s="1"/>
  <c r="F60" i="20"/>
  <c r="I60" i="20" s="1"/>
  <c r="G18" i="20"/>
  <c r="J18" i="20" s="1"/>
  <c r="F74" i="20"/>
  <c r="I74" i="20" s="1"/>
  <c r="F18" i="20"/>
  <c r="I18" i="20" s="1"/>
  <c r="F42" i="20"/>
  <c r="I42" i="20" s="1"/>
  <c r="G6" i="20"/>
  <c r="J6" i="20" s="1"/>
  <c r="F6" i="20"/>
  <c r="I6" i="20" s="1"/>
  <c r="G4" i="20"/>
  <c r="J4" i="20" s="1"/>
  <c r="F40" i="20"/>
  <c r="I40" i="20" s="1"/>
  <c r="I18" i="22"/>
  <c r="N18" i="22" s="1"/>
  <c r="L41" i="22"/>
  <c r="Q41" i="22" s="1"/>
  <c r="H44" i="22"/>
  <c r="M44" i="22" s="1"/>
  <c r="L52" i="22"/>
  <c r="Q52" i="22" s="1"/>
  <c r="J74" i="22"/>
  <c r="O74" i="22" s="1"/>
  <c r="L76" i="22"/>
  <c r="Q76" i="22" s="1"/>
  <c r="K20" i="22"/>
  <c r="P20" i="22" s="1"/>
  <c r="K37" i="22"/>
  <c r="P37" i="22" s="1"/>
  <c r="K49" i="22"/>
  <c r="P49" i="22" s="1"/>
  <c r="H53" i="22"/>
  <c r="K74" i="22"/>
  <c r="P74" i="22" s="1"/>
  <c r="I4" i="22"/>
  <c r="N4" i="22" s="1"/>
  <c r="I6" i="22"/>
  <c r="N6" i="22" s="1"/>
  <c r="K10" i="22"/>
  <c r="P10" i="22" s="1"/>
  <c r="K12" i="22"/>
  <c r="P12" i="22" s="1"/>
  <c r="K14" i="22"/>
  <c r="P14" i="22" s="1"/>
  <c r="L16" i="22"/>
  <c r="Q16" i="22" s="1"/>
  <c r="K18" i="22"/>
  <c r="P18" i="22" s="1"/>
  <c r="L20" i="22"/>
  <c r="Q20" i="22" s="1"/>
  <c r="H23" i="22"/>
  <c r="M23" i="22" s="1"/>
  <c r="J25" i="22"/>
  <c r="O25" i="22" s="1"/>
  <c r="K27" i="22"/>
  <c r="P27" i="22" s="1"/>
  <c r="H30" i="22"/>
  <c r="M30" i="22" s="1"/>
  <c r="L35" i="22"/>
  <c r="Q35" i="22" s="1"/>
  <c r="L37" i="22"/>
  <c r="Q37" i="22" s="1"/>
  <c r="J44" i="22"/>
  <c r="O44" i="22" s="1"/>
  <c r="J46" i="22"/>
  <c r="O46" i="22" s="1"/>
  <c r="L49" i="22"/>
  <c r="Q49" i="22" s="1"/>
  <c r="I53" i="22"/>
  <c r="N53" i="22" s="1"/>
  <c r="K55" i="22"/>
  <c r="P55" i="22" s="1"/>
  <c r="H66" i="22"/>
  <c r="M66" i="22" s="1"/>
  <c r="I68" i="22"/>
  <c r="N68" i="22" s="1"/>
  <c r="J70" i="22"/>
  <c r="O70" i="22" s="1"/>
  <c r="L72" i="22"/>
  <c r="Q72" i="22" s="1"/>
  <c r="L74" i="22"/>
  <c r="Q74" i="22" s="1"/>
  <c r="I77" i="22"/>
  <c r="N77" i="22" s="1"/>
  <c r="J4" i="22"/>
  <c r="O4" i="22" s="1"/>
  <c r="J6" i="22"/>
  <c r="O6" i="22" s="1"/>
  <c r="L10" i="22"/>
  <c r="Q10" i="22" s="1"/>
  <c r="L12" i="22"/>
  <c r="Q12" i="22" s="1"/>
  <c r="L14" i="22"/>
  <c r="Q14" i="22" s="1"/>
  <c r="L18" i="22"/>
  <c r="Q18" i="22" s="1"/>
  <c r="I23" i="22"/>
  <c r="N23" i="22" s="1"/>
  <c r="K25" i="22"/>
  <c r="P25" i="22" s="1"/>
  <c r="L27" i="22"/>
  <c r="Q27" i="22" s="1"/>
  <c r="I30" i="22"/>
  <c r="N30" i="22" s="1"/>
  <c r="H38" i="22"/>
  <c r="M38" i="22" s="1"/>
  <c r="K44" i="22"/>
  <c r="P44" i="22" s="1"/>
  <c r="K46" i="22"/>
  <c r="P46" i="22" s="1"/>
  <c r="J53" i="22"/>
  <c r="O53" i="22" s="1"/>
  <c r="L55" i="22"/>
  <c r="Q55" i="22" s="1"/>
  <c r="H58" i="22"/>
  <c r="M58" i="22" s="1"/>
  <c r="I66" i="22"/>
  <c r="N66" i="22" s="1"/>
  <c r="J68" i="22"/>
  <c r="O68" i="22" s="1"/>
  <c r="K70" i="22"/>
  <c r="P70" i="22" s="1"/>
  <c r="H75" i="22"/>
  <c r="M75" i="22" s="1"/>
  <c r="J77" i="22"/>
  <c r="O77" i="22" s="1"/>
  <c r="I16" i="22"/>
  <c r="N16" i="22" s="1"/>
  <c r="K4" i="22"/>
  <c r="P4" i="22" s="1"/>
  <c r="K6" i="22"/>
  <c r="P6" i="22" s="1"/>
  <c r="H19" i="22"/>
  <c r="M19" i="22" s="1"/>
  <c r="J23" i="22"/>
  <c r="O23" i="22" s="1"/>
  <c r="L25" i="22"/>
  <c r="Q25" i="22" s="1"/>
  <c r="J30" i="22"/>
  <c r="O30" i="22" s="1"/>
  <c r="H36" i="22"/>
  <c r="M36" i="22" s="1"/>
  <c r="I38" i="22"/>
  <c r="N38" i="22" s="1"/>
  <c r="L44" i="22"/>
  <c r="Q44" i="22" s="1"/>
  <c r="L46" i="22"/>
  <c r="Q46" i="22" s="1"/>
  <c r="K53" i="22"/>
  <c r="P53" i="22" s="1"/>
  <c r="I58" i="22"/>
  <c r="N58" i="22" s="1"/>
  <c r="J66" i="22"/>
  <c r="O66" i="22" s="1"/>
  <c r="K68" i="22"/>
  <c r="P68" i="22" s="1"/>
  <c r="L70" i="22"/>
  <c r="Q70" i="22" s="1"/>
  <c r="H73" i="22"/>
  <c r="M73" i="22" s="1"/>
  <c r="I75" i="22"/>
  <c r="N75" i="22" s="1"/>
  <c r="K77" i="22"/>
  <c r="P77" i="22" s="1"/>
  <c r="H15" i="22"/>
  <c r="M15" i="22" s="1"/>
  <c r="I19" i="22"/>
  <c r="N19" i="22" s="1"/>
  <c r="K23" i="22"/>
  <c r="P23" i="22" s="1"/>
  <c r="H26" i="22"/>
  <c r="M26" i="22" s="1"/>
  <c r="K30" i="22"/>
  <c r="P30" i="22" s="1"/>
  <c r="H34" i="22"/>
  <c r="M34" i="22" s="1"/>
  <c r="J38" i="22"/>
  <c r="O38" i="22" s="1"/>
  <c r="L53" i="22"/>
  <c r="Q53" i="22" s="1"/>
  <c r="L68" i="22"/>
  <c r="Q68" i="22" s="1"/>
  <c r="H71" i="22"/>
  <c r="M71" i="22" s="1"/>
  <c r="I73" i="22"/>
  <c r="N73" i="22" s="1"/>
  <c r="J75" i="22"/>
  <c r="O75" i="22" s="1"/>
  <c r="L77" i="22"/>
  <c r="Q77" i="22" s="1"/>
  <c r="H9" i="22"/>
  <c r="M9" i="22" s="1"/>
  <c r="H11" i="22"/>
  <c r="M11" i="22" s="1"/>
  <c r="H13" i="22"/>
  <c r="M13" i="22" s="1"/>
  <c r="J19" i="22"/>
  <c r="O19" i="22" s="1"/>
  <c r="I26" i="22"/>
  <c r="N26" i="22" s="1"/>
  <c r="I34" i="22"/>
  <c r="N34" i="22" s="1"/>
  <c r="K38" i="22"/>
  <c r="P38" i="22" s="1"/>
  <c r="H54" i="22"/>
  <c r="M54" i="22" s="1"/>
  <c r="I71" i="22"/>
  <c r="N71" i="22" s="1"/>
  <c r="J73" i="22"/>
  <c r="O73" i="22" s="1"/>
  <c r="K75" i="22"/>
  <c r="P75" i="22" s="1"/>
  <c r="H78" i="22"/>
  <c r="M78" i="22" s="1"/>
  <c r="I9" i="22"/>
  <c r="N9" i="22" s="1"/>
  <c r="I11" i="22"/>
  <c r="N11" i="22" s="1"/>
  <c r="I13" i="22"/>
  <c r="N13" i="22" s="1"/>
  <c r="K19" i="22"/>
  <c r="P19" i="22" s="1"/>
  <c r="H24" i="22"/>
  <c r="M24" i="22" s="1"/>
  <c r="J26" i="22"/>
  <c r="O26" i="22" s="1"/>
  <c r="H31" i="22"/>
  <c r="M31" i="22" s="1"/>
  <c r="J34" i="22"/>
  <c r="O34" i="22" s="1"/>
  <c r="L38" i="22"/>
  <c r="Q38" i="22" s="1"/>
  <c r="I54" i="22"/>
  <c r="N54" i="22" s="1"/>
  <c r="J71" i="22"/>
  <c r="O71" i="22" s="1"/>
  <c r="K73" i="22"/>
  <c r="P73" i="22" s="1"/>
  <c r="L75" i="22"/>
  <c r="Q75" i="22" s="1"/>
  <c r="I78" i="22"/>
  <c r="N78" i="22" s="1"/>
  <c r="J9" i="22"/>
  <c r="O9" i="22" s="1"/>
  <c r="J11" i="22"/>
  <c r="O11" i="22" s="1"/>
  <c r="J13" i="22"/>
  <c r="O13" i="22" s="1"/>
  <c r="L19" i="22"/>
  <c r="Q19" i="22" s="1"/>
  <c r="K26" i="22"/>
  <c r="P26" i="22" s="1"/>
  <c r="I31" i="22"/>
  <c r="N31" i="22" s="1"/>
  <c r="K34" i="22"/>
  <c r="P34" i="22" s="1"/>
  <c r="J54" i="22"/>
  <c r="O54" i="22" s="1"/>
  <c r="K71" i="22"/>
  <c r="P71" i="22" s="1"/>
  <c r="H76" i="22"/>
  <c r="M76" i="22" s="1"/>
  <c r="K9" i="22"/>
  <c r="P9" i="22" s="1"/>
  <c r="H22" i="22"/>
  <c r="M22" i="22" s="1"/>
  <c r="L26" i="22"/>
  <c r="Q26" i="22" s="1"/>
  <c r="H29" i="22"/>
  <c r="M29" i="22" s="1"/>
  <c r="J31" i="22"/>
  <c r="O31" i="22" s="1"/>
  <c r="K54" i="22"/>
  <c r="P54" i="22" s="1"/>
  <c r="L71" i="22"/>
  <c r="Q71" i="22" s="1"/>
  <c r="L9" i="22"/>
  <c r="Q9" i="22" s="1"/>
  <c r="I29" i="22"/>
  <c r="N29" i="22" s="1"/>
  <c r="N48" i="22"/>
  <c r="P48" i="22"/>
  <c r="P51" i="22"/>
  <c r="G35" i="20"/>
  <c r="J35" i="20" s="1"/>
  <c r="H74" i="20"/>
  <c r="H51" i="20"/>
  <c r="H75" i="20"/>
  <c r="H46" i="20"/>
  <c r="H70" i="20"/>
  <c r="E65" i="20"/>
  <c r="H65" i="20" s="1"/>
  <c r="H36" i="20"/>
  <c r="H60" i="20"/>
  <c r="H56" i="20"/>
  <c r="G56" i="20"/>
  <c r="J56" i="20" s="1"/>
  <c r="H42" i="20"/>
  <c r="H66" i="20"/>
  <c r="H62" i="20"/>
  <c r="G62" i="20"/>
  <c r="J62" i="20" s="1"/>
  <c r="H34" i="20"/>
  <c r="H58" i="20"/>
  <c r="H44" i="20"/>
  <c r="H68" i="20"/>
  <c r="H54" i="20"/>
  <c r="H40" i="20"/>
  <c r="H64" i="20"/>
  <c r="G73" i="20"/>
  <c r="J73" i="20" s="1"/>
  <c r="G5" i="21"/>
  <c r="J5" i="21" s="1"/>
  <c r="G7" i="21"/>
  <c r="J7" i="21" s="1"/>
  <c r="G28" i="21"/>
  <c r="J28" i="21" s="1"/>
  <c r="E38" i="21"/>
  <c r="H38" i="21" s="1"/>
  <c r="E28" i="21"/>
  <c r="H28" i="21" s="1"/>
  <c r="E69" i="21"/>
  <c r="H69" i="21" s="1"/>
  <c r="E55" i="21"/>
  <c r="H55" i="21" s="1"/>
  <c r="G26" i="21"/>
  <c r="J26" i="21" s="1"/>
  <c r="E26" i="21"/>
  <c r="H26" i="21" s="1"/>
  <c r="E72" i="21"/>
  <c r="H72" i="21" s="1"/>
  <c r="E58" i="21"/>
  <c r="G58" i="21" s="1"/>
  <c r="J58" i="21" s="1"/>
  <c r="G22" i="21"/>
  <c r="J22" i="21" s="1"/>
  <c r="E22" i="21"/>
  <c r="H22" i="21" s="1"/>
  <c r="E70" i="21"/>
  <c r="H70" i="21" s="1"/>
  <c r="E56" i="21"/>
  <c r="G56" i="21" s="1"/>
  <c r="J56" i="21" s="1"/>
  <c r="E19" i="21"/>
  <c r="H19" i="21" s="1"/>
  <c r="G19" i="21"/>
  <c r="J19" i="21" s="1"/>
  <c r="E63" i="21"/>
  <c r="H63" i="21" s="1"/>
  <c r="E77" i="21"/>
  <c r="H77" i="21" s="1"/>
  <c r="G14" i="21"/>
  <c r="J14" i="21" s="1"/>
  <c r="E14" i="21"/>
  <c r="H14" i="21" s="1"/>
  <c r="E57" i="21"/>
  <c r="H57" i="21" s="1"/>
  <c r="E71" i="21"/>
  <c r="H71" i="21" s="1"/>
  <c r="G11" i="21"/>
  <c r="J11" i="21" s="1"/>
  <c r="E11" i="21"/>
  <c r="H11" i="21" s="1"/>
  <c r="E51" i="21"/>
  <c r="H51" i="21" s="1"/>
  <c r="G25" i="21"/>
  <c r="J25" i="21" s="1"/>
  <c r="E25" i="21"/>
  <c r="H25" i="21" s="1"/>
  <c r="E44" i="21"/>
  <c r="H44" i="21" s="1"/>
  <c r="G21" i="21"/>
  <c r="J21" i="21" s="1"/>
  <c r="E21" i="21"/>
  <c r="H21" i="21" s="1"/>
  <c r="E36" i="21"/>
  <c r="H36" i="21" s="1"/>
  <c r="G16" i="21"/>
  <c r="J16" i="21" s="1"/>
  <c r="E16" i="21"/>
  <c r="H16" i="21" s="1"/>
  <c r="E48" i="21"/>
  <c r="H48" i="21" s="1"/>
  <c r="G12" i="21"/>
  <c r="J12" i="21" s="1"/>
  <c r="E12" i="21"/>
  <c r="H12" i="21" s="1"/>
  <c r="E43" i="21"/>
  <c r="H43" i="21" s="1"/>
  <c r="G10" i="21"/>
  <c r="J10" i="21" s="1"/>
  <c r="E39" i="21"/>
  <c r="H39" i="21" s="1"/>
  <c r="G24" i="21"/>
  <c r="J24" i="21" s="1"/>
  <c r="E24" i="21"/>
  <c r="H24" i="21" s="1"/>
  <c r="E10" i="21"/>
  <c r="H10" i="21" s="1"/>
  <c r="E74" i="21"/>
  <c r="H74" i="21" s="1"/>
  <c r="E60" i="21"/>
  <c r="H60" i="21" s="1"/>
  <c r="E18" i="21"/>
  <c r="H18" i="21" s="1"/>
  <c r="G18" i="21"/>
  <c r="J18" i="21" s="1"/>
  <c r="E40" i="21"/>
  <c r="G40" i="21" s="1"/>
  <c r="J40" i="21" s="1"/>
  <c r="E4" i="21"/>
  <c r="H4" i="21" s="1"/>
  <c r="E46" i="21"/>
  <c r="G46" i="21" s="1"/>
  <c r="J46" i="21" s="1"/>
  <c r="E17" i="21"/>
  <c r="H17" i="21" s="1"/>
  <c r="G17" i="21"/>
  <c r="J17" i="21" s="1"/>
  <c r="E73" i="21"/>
  <c r="H73" i="21" s="1"/>
  <c r="E59" i="21"/>
  <c r="H59" i="21" s="1"/>
  <c r="G31" i="21"/>
  <c r="J31" i="21" s="1"/>
  <c r="E31" i="21"/>
  <c r="H31" i="21" s="1"/>
  <c r="E76" i="21"/>
  <c r="G76" i="21" s="1"/>
  <c r="J76" i="21" s="1"/>
  <c r="E62" i="21"/>
  <c r="H62" i="21" s="1"/>
  <c r="G20" i="21"/>
  <c r="J20" i="21" s="1"/>
  <c r="E20" i="21"/>
  <c r="H20" i="21" s="1"/>
  <c r="G30" i="21"/>
  <c r="J30" i="21" s="1"/>
  <c r="E30" i="21"/>
  <c r="H30" i="21" s="1"/>
  <c r="E45" i="21"/>
  <c r="H45" i="21" s="1"/>
  <c r="E75" i="21"/>
  <c r="G75" i="21" s="1"/>
  <c r="J75" i="21" s="1"/>
  <c r="E61" i="21"/>
  <c r="H61" i="21" s="1"/>
  <c r="G9" i="21"/>
  <c r="J9" i="21" s="1"/>
  <c r="E9" i="21"/>
  <c r="H9" i="21" s="1"/>
  <c r="E41" i="21"/>
  <c r="H41" i="21" s="1"/>
  <c r="G13" i="21"/>
  <c r="J13" i="21" s="1"/>
  <c r="E13" i="21"/>
  <c r="H13" i="21" s="1"/>
  <c r="E37" i="21"/>
  <c r="H37" i="21" s="1"/>
  <c r="E32" i="21"/>
  <c r="H32" i="21" s="1"/>
  <c r="G32" i="21"/>
  <c r="J32" i="21" s="1"/>
  <c r="E66" i="21"/>
  <c r="H66" i="21" s="1"/>
  <c r="E52" i="21"/>
  <c r="H52" i="21" s="1"/>
  <c r="G27" i="21"/>
  <c r="J27" i="21" s="1"/>
  <c r="E27" i="21"/>
  <c r="H27" i="21" s="1"/>
  <c r="E67" i="21"/>
  <c r="H67" i="21" s="1"/>
  <c r="E53" i="21"/>
  <c r="H53" i="21" s="1"/>
  <c r="G23" i="21"/>
  <c r="J23" i="21" s="1"/>
  <c r="E23" i="21"/>
  <c r="H23" i="21" s="1"/>
  <c r="E42" i="21"/>
  <c r="G42" i="21" s="1"/>
  <c r="J42" i="21" s="1"/>
  <c r="G6" i="21"/>
  <c r="J6" i="21" s="1"/>
  <c r="E6" i="21"/>
  <c r="H6" i="21" s="1"/>
  <c r="G29" i="21"/>
  <c r="J29" i="21" s="1"/>
  <c r="E29" i="21"/>
  <c r="H29" i="21" s="1"/>
  <c r="E78" i="21"/>
  <c r="H78" i="21" s="1"/>
  <c r="E64" i="21"/>
  <c r="G64" i="21" s="1"/>
  <c r="J64" i="21" s="1"/>
  <c r="E5" i="21"/>
  <c r="H5" i="21" s="1"/>
  <c r="E35" i="21"/>
  <c r="H35" i="21" s="1"/>
  <c r="E15" i="21"/>
  <c r="H15" i="21" s="1"/>
  <c r="G15" i="21"/>
  <c r="J15" i="21" s="1"/>
  <c r="E49" i="21"/>
  <c r="H49" i="21" s="1"/>
  <c r="E8" i="21"/>
  <c r="H8" i="21" s="1"/>
  <c r="E68" i="21"/>
  <c r="E54" i="21"/>
  <c r="H54" i="21" s="1"/>
  <c r="G55" i="21"/>
  <c r="J55" i="21" s="1"/>
  <c r="H75" i="21"/>
  <c r="I41" i="21"/>
  <c r="G69" i="21"/>
  <c r="J69" i="21" s="1"/>
  <c r="H56" i="21"/>
  <c r="H42" i="21"/>
  <c r="F47" i="21"/>
  <c r="I47" i="21" s="1"/>
  <c r="F33" i="21"/>
  <c r="I33" i="21" s="1"/>
  <c r="G72" i="21"/>
  <c r="J72" i="21" s="1"/>
  <c r="H34" i="21"/>
  <c r="G34" i="21"/>
  <c r="H58" i="21"/>
  <c r="G67" i="21"/>
  <c r="J67" i="21" s="1"/>
  <c r="G44" i="21"/>
  <c r="J44" i="21" s="1"/>
  <c r="G78" i="21"/>
  <c r="J78" i="21" s="1"/>
  <c r="H47" i="22"/>
  <c r="M47" i="22" s="1"/>
  <c r="J47" i="22"/>
  <c r="O47" i="22" s="1"/>
  <c r="O37" i="22"/>
  <c r="M53" i="22"/>
  <c r="I62" i="19"/>
  <c r="N62" i="19" s="1"/>
  <c r="J62" i="19"/>
  <c r="O62" i="19" s="1"/>
  <c r="K62" i="19"/>
  <c r="P62" i="19" s="1"/>
  <c r="L62" i="19"/>
  <c r="Q62" i="19" s="1"/>
  <c r="K52" i="19"/>
  <c r="K63" i="19"/>
  <c r="I63" i="19"/>
  <c r="L57" i="19"/>
  <c r="J57" i="19"/>
  <c r="L55" i="19"/>
  <c r="J55" i="19"/>
  <c r="I52" i="19"/>
  <c r="I64" i="19"/>
  <c r="J58" i="19"/>
  <c r="K64" i="19"/>
  <c r="L58" i="19"/>
  <c r="I53" i="19"/>
  <c r="J59" i="19"/>
  <c r="K53" i="19"/>
  <c r="L59" i="19"/>
  <c r="I56" i="19"/>
  <c r="J60" i="19"/>
  <c r="K56" i="19"/>
  <c r="L60" i="19"/>
  <c r="I54" i="19"/>
  <c r="J61" i="19"/>
  <c r="K54" i="19"/>
  <c r="L61" i="19"/>
  <c r="I57" i="19"/>
  <c r="J63" i="19"/>
  <c r="K57" i="19"/>
  <c r="L63" i="19"/>
  <c r="I55" i="19"/>
  <c r="K55" i="19"/>
  <c r="I58" i="19"/>
  <c r="J52" i="19"/>
  <c r="J64" i="19"/>
  <c r="K58" i="19"/>
  <c r="L52" i="19"/>
  <c r="L64" i="19"/>
  <c r="I5" i="19"/>
  <c r="I59" i="19"/>
  <c r="J53" i="19"/>
  <c r="K59" i="19"/>
  <c r="L53" i="19"/>
  <c r="I60" i="19"/>
  <c r="J56" i="19"/>
  <c r="K60" i="19"/>
  <c r="L56" i="19"/>
  <c r="H4" i="19"/>
  <c r="I4" i="19"/>
  <c r="J4" i="19"/>
  <c r="K4" i="19"/>
  <c r="L4" i="19"/>
  <c r="J5" i="19"/>
  <c r="K5" i="19"/>
  <c r="L5" i="19"/>
  <c r="I6" i="19"/>
  <c r="J6" i="19"/>
  <c r="K6" i="19"/>
  <c r="L6" i="19"/>
  <c r="H7" i="19"/>
  <c r="I7" i="19"/>
  <c r="J7" i="19"/>
  <c r="K7" i="19"/>
  <c r="L7" i="19"/>
  <c r="H8" i="19"/>
  <c r="I8" i="19"/>
  <c r="J8" i="19"/>
  <c r="K8" i="19"/>
  <c r="L8" i="19"/>
  <c r="I9" i="19"/>
  <c r="J9" i="19"/>
  <c r="K9" i="19"/>
  <c r="L9" i="19"/>
  <c r="H10" i="19"/>
  <c r="I10" i="19"/>
  <c r="J10" i="19"/>
  <c r="K10" i="19"/>
  <c r="L10" i="19"/>
  <c r="H11" i="19"/>
  <c r="I11" i="19"/>
  <c r="J11" i="19"/>
  <c r="K11" i="19"/>
  <c r="L11" i="19"/>
  <c r="I12" i="19"/>
  <c r="J12" i="19"/>
  <c r="K12" i="19"/>
  <c r="L12" i="19"/>
  <c r="I13" i="19"/>
  <c r="J13" i="19"/>
  <c r="K13" i="19"/>
  <c r="L13" i="19"/>
  <c r="I14" i="19"/>
  <c r="J14" i="19"/>
  <c r="K14" i="19"/>
  <c r="L14" i="19"/>
  <c r="I15" i="19"/>
  <c r="J15" i="19"/>
  <c r="K15" i="19"/>
  <c r="L15" i="19"/>
  <c r="I16" i="19"/>
  <c r="J16" i="19"/>
  <c r="K16" i="19"/>
  <c r="L16" i="19"/>
  <c r="I17" i="19"/>
  <c r="J17" i="19"/>
  <c r="K17" i="19"/>
  <c r="L17" i="19"/>
  <c r="I18" i="19"/>
  <c r="J18" i="19"/>
  <c r="K18" i="19"/>
  <c r="L18" i="19"/>
  <c r="I19" i="19"/>
  <c r="J19" i="19"/>
  <c r="K19" i="19"/>
  <c r="L19" i="19"/>
  <c r="I20" i="19"/>
  <c r="J20" i="19"/>
  <c r="K20" i="19"/>
  <c r="L20" i="19"/>
  <c r="I21" i="19"/>
  <c r="J21" i="19"/>
  <c r="K21" i="19"/>
  <c r="L21" i="19"/>
  <c r="I22" i="19"/>
  <c r="J22" i="19"/>
  <c r="K22" i="19"/>
  <c r="L22" i="19"/>
  <c r="I23" i="19"/>
  <c r="J23" i="19"/>
  <c r="K23" i="19"/>
  <c r="L23" i="19"/>
  <c r="I24" i="19"/>
  <c r="J24" i="19"/>
  <c r="K24" i="19"/>
  <c r="L24" i="19"/>
  <c r="I25" i="19"/>
  <c r="J25" i="19"/>
  <c r="K25" i="19"/>
  <c r="L25" i="19"/>
  <c r="I26" i="19"/>
  <c r="J26" i="19"/>
  <c r="K26" i="19"/>
  <c r="L26" i="19"/>
  <c r="I27" i="19"/>
  <c r="J27" i="19"/>
  <c r="K27" i="19"/>
  <c r="L27" i="19"/>
  <c r="I28" i="19"/>
  <c r="J28" i="19"/>
  <c r="K28" i="19"/>
  <c r="L28" i="19"/>
  <c r="I29" i="19"/>
  <c r="J29" i="19"/>
  <c r="K29" i="19"/>
  <c r="L29" i="19"/>
  <c r="I30" i="19"/>
  <c r="J30" i="19"/>
  <c r="K30" i="19"/>
  <c r="L30" i="19"/>
  <c r="I31" i="19"/>
  <c r="J31" i="19"/>
  <c r="K31" i="19"/>
  <c r="L31" i="19"/>
  <c r="I32" i="19"/>
  <c r="J32" i="19"/>
  <c r="K32" i="19"/>
  <c r="L32" i="19"/>
  <c r="D32" i="18"/>
  <c r="C32" i="18"/>
  <c r="D31" i="18"/>
  <c r="F73" i="18" s="1"/>
  <c r="I73" i="18" s="1"/>
  <c r="C31" i="18"/>
  <c r="E73" i="18" s="1"/>
  <c r="H73" i="18" s="1"/>
  <c r="D30" i="18"/>
  <c r="C30" i="18"/>
  <c r="D29" i="18"/>
  <c r="F78" i="18" s="1"/>
  <c r="I78" i="18" s="1"/>
  <c r="C29" i="18"/>
  <c r="E78" i="18" s="1"/>
  <c r="H78" i="18" s="1"/>
  <c r="D28" i="18"/>
  <c r="C28" i="18"/>
  <c r="D27" i="18"/>
  <c r="F66" i="18" s="1"/>
  <c r="I66" i="18" s="1"/>
  <c r="C27" i="18"/>
  <c r="E66" i="18" s="1"/>
  <c r="H66" i="18" s="1"/>
  <c r="D26" i="18"/>
  <c r="F69" i="18" s="1"/>
  <c r="I69" i="18" s="1"/>
  <c r="C26" i="18"/>
  <c r="E69" i="18" s="1"/>
  <c r="H69" i="18" s="1"/>
  <c r="D25" i="18"/>
  <c r="C25" i="18"/>
  <c r="D24" i="18"/>
  <c r="C24" i="18"/>
  <c r="D23" i="18"/>
  <c r="F67" i="18" s="1"/>
  <c r="I67" i="18" s="1"/>
  <c r="C23" i="18"/>
  <c r="E67" i="18" s="1"/>
  <c r="H67" i="18" s="1"/>
  <c r="D22" i="18"/>
  <c r="F72" i="18" s="1"/>
  <c r="I72" i="18" s="1"/>
  <c r="C22" i="18"/>
  <c r="E72" i="18" s="1"/>
  <c r="H72" i="18" s="1"/>
  <c r="D21" i="18"/>
  <c r="C21" i="18"/>
  <c r="D20" i="18"/>
  <c r="F76" i="18" s="1"/>
  <c r="I76" i="18" s="1"/>
  <c r="C20" i="18"/>
  <c r="E76" i="18" s="1"/>
  <c r="H76" i="18" s="1"/>
  <c r="D19" i="18"/>
  <c r="F70" i="18" s="1"/>
  <c r="I70" i="18" s="1"/>
  <c r="C19" i="18"/>
  <c r="E70" i="18" s="1"/>
  <c r="H70" i="18" s="1"/>
  <c r="D18" i="18"/>
  <c r="F74" i="18" s="1"/>
  <c r="I74" i="18" s="1"/>
  <c r="C18" i="18"/>
  <c r="E74" i="18" s="1"/>
  <c r="H74" i="18" s="1"/>
  <c r="D17" i="18"/>
  <c r="F46" i="18" s="1"/>
  <c r="I46" i="18" s="1"/>
  <c r="C17" i="18"/>
  <c r="D16" i="18"/>
  <c r="C16" i="18"/>
  <c r="D15" i="18"/>
  <c r="C15" i="18"/>
  <c r="D14" i="18"/>
  <c r="F77" i="18" s="1"/>
  <c r="I77" i="18" s="1"/>
  <c r="C14" i="18"/>
  <c r="E77" i="18" s="1"/>
  <c r="H77" i="18" s="1"/>
  <c r="D13" i="18"/>
  <c r="C13" i="18"/>
  <c r="D12" i="18"/>
  <c r="C12" i="18"/>
  <c r="D11" i="18"/>
  <c r="F71" i="18" s="1"/>
  <c r="I71" i="18" s="1"/>
  <c r="C11" i="18"/>
  <c r="E71" i="18" s="1"/>
  <c r="H71" i="18" s="1"/>
  <c r="D10" i="18"/>
  <c r="C10" i="18"/>
  <c r="D9" i="18"/>
  <c r="F75" i="18" s="1"/>
  <c r="I75" i="18" s="1"/>
  <c r="C9" i="18"/>
  <c r="E75" i="18" s="1"/>
  <c r="H75" i="18" s="1"/>
  <c r="D8" i="18"/>
  <c r="F49" i="18" s="1"/>
  <c r="I49" i="18" s="1"/>
  <c r="C8" i="18"/>
  <c r="D7" i="18"/>
  <c r="C7" i="18"/>
  <c r="E68" i="18" s="1"/>
  <c r="H68" i="18" s="1"/>
  <c r="D6" i="18"/>
  <c r="C6" i="18"/>
  <c r="D5" i="18"/>
  <c r="C5" i="18"/>
  <c r="D4" i="18"/>
  <c r="C4" i="18"/>
  <c r="G39" i="20" l="1"/>
  <c r="J39" i="20" s="1"/>
  <c r="G63" i="21"/>
  <c r="J63" i="21" s="1"/>
  <c r="E50" i="20"/>
  <c r="H50" i="20" s="1"/>
  <c r="G77" i="21"/>
  <c r="J77" i="21" s="1"/>
  <c r="G66" i="18"/>
  <c r="J66" i="18" s="1"/>
  <c r="F65" i="21"/>
  <c r="I65" i="21" s="1"/>
  <c r="G48" i="20"/>
  <c r="G38" i="21"/>
  <c r="J38" i="21" s="1"/>
  <c r="G68" i="21"/>
  <c r="J68" i="21" s="1"/>
  <c r="H76" i="21"/>
  <c r="L47" i="22"/>
  <c r="Q47" i="22" s="1"/>
  <c r="H48" i="20"/>
  <c r="G38" i="20"/>
  <c r="J38" i="20" s="1"/>
  <c r="H38" i="20"/>
  <c r="G57" i="21"/>
  <c r="J57" i="21" s="1"/>
  <c r="H40" i="21"/>
  <c r="G48" i="21"/>
  <c r="G77" i="20"/>
  <c r="J77" i="20" s="1"/>
  <c r="H52" i="20"/>
  <c r="F50" i="21"/>
  <c r="I50" i="21" s="1"/>
  <c r="H46" i="21"/>
  <c r="G71" i="21"/>
  <c r="J71" i="21" s="1"/>
  <c r="G71" i="18"/>
  <c r="J71" i="18" s="1"/>
  <c r="G53" i="21"/>
  <c r="J53" i="21" s="1"/>
  <c r="G70" i="18"/>
  <c r="J70" i="18" s="1"/>
  <c r="G76" i="18"/>
  <c r="J76" i="18" s="1"/>
  <c r="G68" i="18"/>
  <c r="J68" i="18" s="1"/>
  <c r="G77" i="18"/>
  <c r="J77" i="18" s="1"/>
  <c r="G75" i="18"/>
  <c r="J75" i="18" s="1"/>
  <c r="F7" i="18"/>
  <c r="F68" i="18"/>
  <c r="I68" i="18" s="1"/>
  <c r="G73" i="18"/>
  <c r="J73" i="18" s="1"/>
  <c r="G69" i="18"/>
  <c r="J69" i="18" s="1"/>
  <c r="G78" i="18"/>
  <c r="J78" i="18" s="1"/>
  <c r="G67" i="18"/>
  <c r="J67" i="18" s="1"/>
  <c r="G74" i="18"/>
  <c r="J74" i="18" s="1"/>
  <c r="G72" i="18"/>
  <c r="J72" i="18" s="1"/>
  <c r="G61" i="20"/>
  <c r="J61" i="20" s="1"/>
  <c r="G69" i="20"/>
  <c r="J69" i="20" s="1"/>
  <c r="G37" i="20"/>
  <c r="J37" i="20" s="1"/>
  <c r="G78" i="20"/>
  <c r="J78" i="20" s="1"/>
  <c r="G72" i="20"/>
  <c r="J72" i="20" s="1"/>
  <c r="G63" i="20"/>
  <c r="J63" i="20" s="1"/>
  <c r="G36" i="21"/>
  <c r="J36" i="21" s="1"/>
  <c r="G43" i="21"/>
  <c r="J43" i="21" s="1"/>
  <c r="G41" i="21"/>
  <c r="J41" i="21" s="1"/>
  <c r="G73" i="21"/>
  <c r="J73" i="21" s="1"/>
  <c r="G66" i="21"/>
  <c r="J66" i="21" s="1"/>
  <c r="G51" i="21"/>
  <c r="J51" i="21" s="1"/>
  <c r="G76" i="20"/>
  <c r="J76" i="20" s="1"/>
  <c r="G51" i="20"/>
  <c r="J51" i="20" s="1"/>
  <c r="G59" i="20"/>
  <c r="J59" i="20" s="1"/>
  <c r="G68" i="20"/>
  <c r="J68" i="20" s="1"/>
  <c r="G44" i="20"/>
  <c r="J44" i="20" s="1"/>
  <c r="G53" i="20"/>
  <c r="J53" i="20" s="1"/>
  <c r="G70" i="20"/>
  <c r="J70" i="20" s="1"/>
  <c r="G64" i="20"/>
  <c r="J64" i="20" s="1"/>
  <c r="I50" i="22"/>
  <c r="N50" i="22" s="1"/>
  <c r="G58" i="20"/>
  <c r="J58" i="20" s="1"/>
  <c r="H33" i="22"/>
  <c r="M33" i="22" s="1"/>
  <c r="G34" i="20"/>
  <c r="J34" i="20" s="1"/>
  <c r="G52" i="20"/>
  <c r="J52" i="20" s="1"/>
  <c r="F65" i="20"/>
  <c r="I65" i="20" s="1"/>
  <c r="G54" i="20"/>
  <c r="J54" i="20" s="1"/>
  <c r="F47" i="20"/>
  <c r="I47" i="20" s="1"/>
  <c r="G43" i="20"/>
  <c r="J43" i="20" s="1"/>
  <c r="G67" i="20"/>
  <c r="J67" i="20" s="1"/>
  <c r="G57" i="20"/>
  <c r="J57" i="20" s="1"/>
  <c r="G66" i="20"/>
  <c r="G46" i="20"/>
  <c r="J46" i="20" s="1"/>
  <c r="L65" i="22"/>
  <c r="Q65" i="22" s="1"/>
  <c r="G71" i="20"/>
  <c r="J71" i="20" s="1"/>
  <c r="G42" i="20"/>
  <c r="J42" i="20" s="1"/>
  <c r="K65" i="22"/>
  <c r="P65" i="22" s="1"/>
  <c r="G49" i="20"/>
  <c r="J49" i="20" s="1"/>
  <c r="G74" i="20"/>
  <c r="J74" i="20" s="1"/>
  <c r="G40" i="20"/>
  <c r="J40" i="20" s="1"/>
  <c r="L50" i="22"/>
  <c r="Q50" i="22" s="1"/>
  <c r="F33" i="20"/>
  <c r="I33" i="20" s="1"/>
  <c r="J50" i="22"/>
  <c r="O50" i="22" s="1"/>
  <c r="G41" i="20"/>
  <c r="J41" i="20" s="1"/>
  <c r="G60" i="20"/>
  <c r="J60" i="20" s="1"/>
  <c r="G45" i="20"/>
  <c r="J45" i="20" s="1"/>
  <c r="G55" i="20"/>
  <c r="J55" i="20" s="1"/>
  <c r="F50" i="20"/>
  <c r="I50" i="20" s="1"/>
  <c r="G36" i="20"/>
  <c r="J36" i="20" s="1"/>
  <c r="G75" i="20"/>
  <c r="J75" i="20" s="1"/>
  <c r="H68" i="21"/>
  <c r="J33" i="22"/>
  <c r="O33" i="22" s="1"/>
  <c r="H50" i="22"/>
  <c r="M50" i="22" s="1"/>
  <c r="G60" i="21"/>
  <c r="J60" i="21" s="1"/>
  <c r="H64" i="21"/>
  <c r="G52" i="21"/>
  <c r="J52" i="21" s="1"/>
  <c r="G45" i="21"/>
  <c r="J45" i="21" s="1"/>
  <c r="G39" i="21"/>
  <c r="J39" i="21" s="1"/>
  <c r="G37" i="21"/>
  <c r="J37" i="21" s="1"/>
  <c r="L33" i="22"/>
  <c r="Q33" i="22" s="1"/>
  <c r="I33" i="22"/>
  <c r="N33" i="22" s="1"/>
  <c r="I65" i="22"/>
  <c r="N65" i="22" s="1"/>
  <c r="J65" i="22"/>
  <c r="O65" i="22" s="1"/>
  <c r="K50" i="22"/>
  <c r="P50" i="22" s="1"/>
  <c r="H65" i="22"/>
  <c r="M65" i="22" s="1"/>
  <c r="K33" i="22"/>
  <c r="P33" i="22" s="1"/>
  <c r="K47" i="22"/>
  <c r="P47" i="22" s="1"/>
  <c r="J48" i="20"/>
  <c r="J66" i="20"/>
  <c r="G59" i="21"/>
  <c r="J59" i="21" s="1"/>
  <c r="E33" i="21"/>
  <c r="H33" i="21" s="1"/>
  <c r="G49" i="21"/>
  <c r="J49" i="21" s="1"/>
  <c r="E65" i="21"/>
  <c r="H65" i="21" s="1"/>
  <c r="G54" i="21"/>
  <c r="J54" i="21" s="1"/>
  <c r="G35" i="21"/>
  <c r="J35" i="21" s="1"/>
  <c r="E47" i="21"/>
  <c r="H47" i="21" s="1"/>
  <c r="G61" i="21"/>
  <c r="J61" i="21" s="1"/>
  <c r="G70" i="21"/>
  <c r="J70" i="21" s="1"/>
  <c r="E50" i="21"/>
  <c r="H50" i="21" s="1"/>
  <c r="G62" i="21"/>
  <c r="J62" i="21" s="1"/>
  <c r="G74" i="21"/>
  <c r="J74" i="21" s="1"/>
  <c r="J34" i="21"/>
  <c r="J48" i="21"/>
  <c r="G47" i="21"/>
  <c r="J47" i="21" s="1"/>
  <c r="F61" i="18"/>
  <c r="I61" i="18" s="1"/>
  <c r="F9" i="18"/>
  <c r="F57" i="18"/>
  <c r="I57" i="18" s="1"/>
  <c r="F11" i="18"/>
  <c r="F63" i="18"/>
  <c r="I63" i="18" s="1"/>
  <c r="F14" i="18"/>
  <c r="F56" i="18"/>
  <c r="I56" i="18" s="1"/>
  <c r="F19" i="18"/>
  <c r="F58" i="18"/>
  <c r="I58" i="18" s="1"/>
  <c r="F22" i="18"/>
  <c r="F55" i="18"/>
  <c r="I55" i="18" s="1"/>
  <c r="F26" i="18"/>
  <c r="F38" i="18"/>
  <c r="I38" i="18" s="1"/>
  <c r="F28" i="18"/>
  <c r="F45" i="18"/>
  <c r="I45" i="18" s="1"/>
  <c r="F30" i="18"/>
  <c r="E49" i="18"/>
  <c r="H49" i="18" s="1"/>
  <c r="E8" i="18"/>
  <c r="G8" i="18"/>
  <c r="E35" i="18"/>
  <c r="H35" i="18" s="1"/>
  <c r="E15" i="18"/>
  <c r="G15" i="18"/>
  <c r="E62" i="18"/>
  <c r="G20" i="18"/>
  <c r="E20" i="18"/>
  <c r="E61" i="18"/>
  <c r="G9" i="18"/>
  <c r="E9" i="18"/>
  <c r="E57" i="18"/>
  <c r="H57" i="18" s="1"/>
  <c r="G11" i="18"/>
  <c r="E11" i="18"/>
  <c r="E63" i="18"/>
  <c r="H63" i="18" s="1"/>
  <c r="E14" i="18"/>
  <c r="G14" i="18"/>
  <c r="E56" i="18"/>
  <c r="E19" i="18"/>
  <c r="G19" i="18"/>
  <c r="E22" i="18"/>
  <c r="E58" i="18"/>
  <c r="H58" i="18" s="1"/>
  <c r="G22" i="18"/>
  <c r="E26" i="18"/>
  <c r="E55" i="18"/>
  <c r="H55" i="18" s="1"/>
  <c r="G26" i="18"/>
  <c r="F35" i="18"/>
  <c r="I35" i="18" s="1"/>
  <c r="F15" i="18"/>
  <c r="F62" i="18"/>
  <c r="I62" i="18" s="1"/>
  <c r="F20" i="18"/>
  <c r="E34" i="18"/>
  <c r="H34" i="18" s="1"/>
  <c r="G5" i="18"/>
  <c r="E5" i="18"/>
  <c r="F34" i="18"/>
  <c r="I34" i="18" s="1"/>
  <c r="F5" i="18"/>
  <c r="E40" i="18"/>
  <c r="H40" i="18" s="1"/>
  <c r="G4" i="18"/>
  <c r="E4" i="18"/>
  <c r="E42" i="18"/>
  <c r="H42" i="18" s="1"/>
  <c r="E6" i="18"/>
  <c r="E60" i="18"/>
  <c r="H60" i="18" s="1"/>
  <c r="G18" i="18"/>
  <c r="E18" i="18"/>
  <c r="E53" i="18"/>
  <c r="H53" i="18" s="1"/>
  <c r="G23" i="18"/>
  <c r="E23" i="18"/>
  <c r="E52" i="18"/>
  <c r="H52" i="18" s="1"/>
  <c r="G27" i="18"/>
  <c r="E27" i="18"/>
  <c r="F40" i="18"/>
  <c r="I40" i="18" s="1"/>
  <c r="F4" i="18"/>
  <c r="F42" i="18"/>
  <c r="F6" i="18"/>
  <c r="F60" i="18"/>
  <c r="I60" i="18" s="1"/>
  <c r="F18" i="18"/>
  <c r="F53" i="18"/>
  <c r="I53" i="18" s="1"/>
  <c r="F23" i="18"/>
  <c r="F52" i="18"/>
  <c r="I52" i="18" s="1"/>
  <c r="F27" i="18"/>
  <c r="G6" i="18"/>
  <c r="F36" i="18"/>
  <c r="I36" i="18" s="1"/>
  <c r="F16" i="18"/>
  <c r="F44" i="18"/>
  <c r="I44" i="18" s="1"/>
  <c r="F21" i="18"/>
  <c r="F25" i="18"/>
  <c r="F51" i="18"/>
  <c r="I51" i="18" s="1"/>
  <c r="E54" i="18"/>
  <c r="H54" i="18" s="1"/>
  <c r="G7" i="18"/>
  <c r="E7" i="18"/>
  <c r="E39" i="18"/>
  <c r="H39" i="18" s="1"/>
  <c r="G24" i="18"/>
  <c r="E24" i="18"/>
  <c r="E37" i="18"/>
  <c r="H37" i="18" s="1"/>
  <c r="G32" i="18"/>
  <c r="E32" i="18"/>
  <c r="F17" i="18"/>
  <c r="F41" i="18"/>
  <c r="I41" i="18" s="1"/>
  <c r="F13" i="18"/>
  <c r="F54" i="18"/>
  <c r="I54" i="18" s="1"/>
  <c r="F39" i="18"/>
  <c r="I39" i="18" s="1"/>
  <c r="F24" i="18"/>
  <c r="F32" i="18"/>
  <c r="F37" i="18"/>
  <c r="I37" i="18" s="1"/>
  <c r="F8" i="18"/>
  <c r="F43" i="18"/>
  <c r="I43" i="18" s="1"/>
  <c r="F10" i="18"/>
  <c r="F48" i="18"/>
  <c r="I48" i="18" s="1"/>
  <c r="F12" i="18"/>
  <c r="E43" i="18"/>
  <c r="G10" i="18"/>
  <c r="E10" i="18"/>
  <c r="E48" i="18"/>
  <c r="H48" i="18" s="1"/>
  <c r="E12" i="18"/>
  <c r="E41" i="18"/>
  <c r="G13" i="18"/>
  <c r="E13" i="18"/>
  <c r="E36" i="18"/>
  <c r="G36" i="18" s="1"/>
  <c r="J36" i="18" s="1"/>
  <c r="G16" i="18"/>
  <c r="E16" i="18"/>
  <c r="G21" i="18"/>
  <c r="E21" i="18"/>
  <c r="E44" i="18"/>
  <c r="H44" i="18" s="1"/>
  <c r="E51" i="18"/>
  <c r="H51" i="18" s="1"/>
  <c r="G25" i="18"/>
  <c r="E25" i="18"/>
  <c r="E38" i="18"/>
  <c r="H38" i="18" s="1"/>
  <c r="G28" i="18"/>
  <c r="E28" i="18"/>
  <c r="G30" i="18"/>
  <c r="E30" i="18"/>
  <c r="E45" i="18"/>
  <c r="H45" i="18" s="1"/>
  <c r="E59" i="18"/>
  <c r="H59" i="18" s="1"/>
  <c r="G31" i="18"/>
  <c r="E31" i="18"/>
  <c r="F59" i="18"/>
  <c r="I59" i="18" s="1"/>
  <c r="F31" i="18"/>
  <c r="E46" i="18"/>
  <c r="H46" i="18" s="1"/>
  <c r="E17" i="18"/>
  <c r="G17" i="18"/>
  <c r="G29" i="18"/>
  <c r="E64" i="18"/>
  <c r="H64" i="18" s="1"/>
  <c r="E29" i="18"/>
  <c r="F29" i="18"/>
  <c r="F64" i="18"/>
  <c r="I64" i="18" s="1"/>
  <c r="G12" i="18"/>
  <c r="P45" i="19"/>
  <c r="N45" i="19"/>
  <c r="H30" i="19"/>
  <c r="Q45" i="19"/>
  <c r="O45" i="19"/>
  <c r="H45" i="19"/>
  <c r="M45" i="19" s="1"/>
  <c r="P59" i="19"/>
  <c r="N59" i="19"/>
  <c r="Q59" i="19"/>
  <c r="O59" i="19"/>
  <c r="H59" i="19"/>
  <c r="M59" i="19" s="1"/>
  <c r="H31" i="19"/>
  <c r="H20" i="19"/>
  <c r="Q64" i="19"/>
  <c r="O64" i="19"/>
  <c r="H64" i="19"/>
  <c r="M64" i="19" s="1"/>
  <c r="N64" i="19"/>
  <c r="P64" i="19"/>
  <c r="H29" i="19"/>
  <c r="Q51" i="19"/>
  <c r="O51" i="19"/>
  <c r="H51" i="19"/>
  <c r="M51" i="19" s="1"/>
  <c r="N51" i="19"/>
  <c r="H25" i="19"/>
  <c r="P44" i="19"/>
  <c r="N44" i="19"/>
  <c r="H44" i="19"/>
  <c r="M44" i="19" s="1"/>
  <c r="Q44" i="19"/>
  <c r="O44" i="19"/>
  <c r="H21" i="19"/>
  <c r="N36" i="19"/>
  <c r="Q36" i="19"/>
  <c r="O36" i="19"/>
  <c r="H36" i="19"/>
  <c r="M36" i="19" s="1"/>
  <c r="P36" i="19"/>
  <c r="H16" i="19"/>
  <c r="Q38" i="19"/>
  <c r="O38" i="19"/>
  <c r="H38" i="19"/>
  <c r="M38" i="19" s="1"/>
  <c r="N38" i="19"/>
  <c r="H28" i="19"/>
  <c r="P38" i="19"/>
  <c r="P55" i="19"/>
  <c r="N55" i="19"/>
  <c r="Q55" i="19"/>
  <c r="O55" i="19"/>
  <c r="H55" i="19"/>
  <c r="M55" i="19" s="1"/>
  <c r="H26" i="19"/>
  <c r="P58" i="19"/>
  <c r="N58" i="19"/>
  <c r="Q58" i="19"/>
  <c r="O58" i="19"/>
  <c r="H58" i="19"/>
  <c r="M58" i="19" s="1"/>
  <c r="H22" i="19"/>
  <c r="Q56" i="19"/>
  <c r="O56" i="19"/>
  <c r="H56" i="19"/>
  <c r="M56" i="19" s="1"/>
  <c r="P56" i="19"/>
  <c r="N56" i="19"/>
  <c r="H19" i="19"/>
  <c r="O48" i="19"/>
  <c r="H48" i="19"/>
  <c r="M48" i="19" s="1"/>
  <c r="H12" i="19"/>
  <c r="P43" i="19"/>
  <c r="N43" i="19"/>
  <c r="Q43" i="19"/>
  <c r="O43" i="19"/>
  <c r="H43" i="19"/>
  <c r="M43" i="19" s="1"/>
  <c r="P61" i="19"/>
  <c r="N61" i="19"/>
  <c r="Q61" i="19"/>
  <c r="O61" i="19"/>
  <c r="H61" i="19"/>
  <c r="M61" i="19" s="1"/>
  <c r="H9" i="19"/>
  <c r="P35" i="19"/>
  <c r="N35" i="19"/>
  <c r="Q35" i="19"/>
  <c r="H35" i="19"/>
  <c r="M35" i="19" s="1"/>
  <c r="H15" i="19"/>
  <c r="Q52" i="19"/>
  <c r="O52" i="19"/>
  <c r="H52" i="19"/>
  <c r="M52" i="19" s="1"/>
  <c r="N52" i="19"/>
  <c r="P52" i="19"/>
  <c r="H27" i="19"/>
  <c r="Q53" i="19"/>
  <c r="O53" i="19"/>
  <c r="H53" i="19"/>
  <c r="M53" i="19" s="1"/>
  <c r="P53" i="19"/>
  <c r="N53" i="19"/>
  <c r="H23" i="19"/>
  <c r="P60" i="19"/>
  <c r="N60" i="19"/>
  <c r="Q60" i="19"/>
  <c r="O60" i="19"/>
  <c r="H60" i="19"/>
  <c r="M60" i="19" s="1"/>
  <c r="H18" i="19"/>
  <c r="Q40" i="19"/>
  <c r="O40" i="19"/>
  <c r="H40" i="19"/>
  <c r="M40" i="19" s="1"/>
  <c r="P40" i="19"/>
  <c r="N40" i="19"/>
  <c r="Q37" i="19"/>
  <c r="O37" i="19"/>
  <c r="H37" i="19"/>
  <c r="M37" i="19" s="1"/>
  <c r="P37" i="19"/>
  <c r="H32" i="19"/>
  <c r="N37" i="19"/>
  <c r="Q54" i="19"/>
  <c r="O54" i="19"/>
  <c r="H54" i="19"/>
  <c r="M54" i="19" s="1"/>
  <c r="P54" i="19"/>
  <c r="N54" i="19"/>
  <c r="N49" i="19"/>
  <c r="Q49" i="19"/>
  <c r="H49" i="19"/>
  <c r="M49" i="19" s="1"/>
  <c r="P49" i="19"/>
  <c r="P46" i="19"/>
  <c r="N46" i="19"/>
  <c r="Q46" i="19"/>
  <c r="O46" i="19"/>
  <c r="H46" i="19"/>
  <c r="M46" i="19" s="1"/>
  <c r="H17" i="19"/>
  <c r="P42" i="19"/>
  <c r="N42" i="19"/>
  <c r="H42" i="19"/>
  <c r="M42" i="19" s="1"/>
  <c r="Q42" i="19"/>
  <c r="O42" i="19"/>
  <c r="Q39" i="19"/>
  <c r="O39" i="19"/>
  <c r="H39" i="19"/>
  <c r="M39" i="19" s="1"/>
  <c r="P39" i="19"/>
  <c r="N39" i="19"/>
  <c r="H24" i="19"/>
  <c r="Q41" i="19"/>
  <c r="O41" i="19"/>
  <c r="H41" i="19"/>
  <c r="M41" i="19" s="1"/>
  <c r="P41" i="19"/>
  <c r="N41" i="19"/>
  <c r="H13" i="19"/>
  <c r="N63" i="19"/>
  <c r="Q63" i="19"/>
  <c r="O63" i="19"/>
  <c r="H63" i="19"/>
  <c r="M63" i="19" s="1"/>
  <c r="P63" i="19"/>
  <c r="H14" i="19"/>
  <c r="P57" i="19"/>
  <c r="N57" i="19"/>
  <c r="H57" i="19"/>
  <c r="M57" i="19" s="1"/>
  <c r="Q57" i="19"/>
  <c r="O57" i="19"/>
  <c r="H6" i="19"/>
  <c r="N34" i="19"/>
  <c r="P34" i="19"/>
  <c r="Q34" i="19"/>
  <c r="O34" i="19"/>
  <c r="H34" i="19"/>
  <c r="M34" i="19" s="1"/>
  <c r="I42" i="18"/>
  <c r="H56" i="18"/>
  <c r="E65" i="18"/>
  <c r="H65" i="18" s="1"/>
  <c r="G39" i="18"/>
  <c r="J39" i="18" s="1"/>
  <c r="G45" i="18"/>
  <c r="J45" i="18" s="1"/>
  <c r="G46" i="18"/>
  <c r="J46" i="18" s="1"/>
  <c r="D4" i="17"/>
  <c r="D5" i="17"/>
  <c r="D6" i="17"/>
  <c r="D7" i="17"/>
  <c r="F68" i="17" s="1"/>
  <c r="D8" i="17"/>
  <c r="D9" i="17"/>
  <c r="F75" i="17" s="1"/>
  <c r="D10" i="17"/>
  <c r="D11" i="17"/>
  <c r="F71" i="17" s="1"/>
  <c r="D12" i="17"/>
  <c r="D13" i="17"/>
  <c r="D14" i="17"/>
  <c r="F77" i="17" s="1"/>
  <c r="D15" i="17"/>
  <c r="D16" i="17"/>
  <c r="D17" i="17"/>
  <c r="D18" i="17"/>
  <c r="F74" i="17" s="1"/>
  <c r="D19" i="17"/>
  <c r="F70" i="17" s="1"/>
  <c r="D20" i="17"/>
  <c r="F76" i="17" s="1"/>
  <c r="D21" i="17"/>
  <c r="D22" i="17"/>
  <c r="F72" i="17" s="1"/>
  <c r="D23" i="17"/>
  <c r="F67" i="17" s="1"/>
  <c r="D24" i="17"/>
  <c r="D25" i="17"/>
  <c r="D26" i="17"/>
  <c r="F69" i="17" s="1"/>
  <c r="D27" i="17"/>
  <c r="F66" i="17" s="1"/>
  <c r="D28" i="17"/>
  <c r="D29" i="17"/>
  <c r="F78" i="17" s="1"/>
  <c r="D30" i="17"/>
  <c r="D31" i="17"/>
  <c r="F73" i="17" s="1"/>
  <c r="D32" i="17"/>
  <c r="C4" i="17"/>
  <c r="C5" i="17"/>
  <c r="C6" i="17"/>
  <c r="C7" i="17"/>
  <c r="E68" i="17" s="1"/>
  <c r="H68" i="17" s="1"/>
  <c r="C8" i="17"/>
  <c r="C9" i="17"/>
  <c r="E75" i="17" s="1"/>
  <c r="H75" i="17" s="1"/>
  <c r="C10" i="17"/>
  <c r="C11" i="17"/>
  <c r="E71" i="17" s="1"/>
  <c r="H71" i="17" s="1"/>
  <c r="C12" i="17"/>
  <c r="C13" i="17"/>
  <c r="C14" i="17"/>
  <c r="E77" i="17" s="1"/>
  <c r="H77" i="17" s="1"/>
  <c r="C15" i="17"/>
  <c r="C16" i="17"/>
  <c r="C17" i="17"/>
  <c r="C18" i="17"/>
  <c r="E74" i="17" s="1"/>
  <c r="H74" i="17" s="1"/>
  <c r="C19" i="17"/>
  <c r="E70" i="17" s="1"/>
  <c r="H70" i="17" s="1"/>
  <c r="C20" i="17"/>
  <c r="E76" i="17" s="1"/>
  <c r="H76" i="17" s="1"/>
  <c r="C21" i="17"/>
  <c r="C22" i="17"/>
  <c r="E72" i="17" s="1"/>
  <c r="H72" i="17" s="1"/>
  <c r="C23" i="17"/>
  <c r="E67" i="17" s="1"/>
  <c r="H67" i="17" s="1"/>
  <c r="C24" i="17"/>
  <c r="C25" i="17"/>
  <c r="C26" i="17"/>
  <c r="E69" i="17" s="1"/>
  <c r="H69" i="17" s="1"/>
  <c r="C27" i="17"/>
  <c r="E66" i="17" s="1"/>
  <c r="H66" i="17" s="1"/>
  <c r="C28" i="17"/>
  <c r="C29" i="17"/>
  <c r="E78" i="17" s="1"/>
  <c r="H78" i="17" s="1"/>
  <c r="C30" i="17"/>
  <c r="C31" i="17"/>
  <c r="E73" i="17" s="1"/>
  <c r="H73" i="17" s="1"/>
  <c r="C32" i="17"/>
  <c r="G32" i="16"/>
  <c r="G37" i="16" s="1"/>
  <c r="F32" i="16"/>
  <c r="F37" i="16" s="1"/>
  <c r="E32" i="16"/>
  <c r="E37" i="16" s="1"/>
  <c r="D32" i="16"/>
  <c r="D37" i="16" s="1"/>
  <c r="R37" i="16" s="1"/>
  <c r="C32" i="16"/>
  <c r="C37" i="16" s="1"/>
  <c r="G31" i="16"/>
  <c r="F31" i="16"/>
  <c r="E31" i="16"/>
  <c r="D31" i="16"/>
  <c r="C31" i="16"/>
  <c r="G30" i="16"/>
  <c r="G45" i="16" s="1"/>
  <c r="F30" i="16"/>
  <c r="F45" i="16" s="1"/>
  <c r="E30" i="16"/>
  <c r="E45" i="16" s="1"/>
  <c r="D30" i="16"/>
  <c r="D45" i="16" s="1"/>
  <c r="R45" i="16" s="1"/>
  <c r="C30" i="16"/>
  <c r="C45" i="16" s="1"/>
  <c r="G29" i="16"/>
  <c r="F29" i="16"/>
  <c r="E29" i="16"/>
  <c r="D29" i="16"/>
  <c r="C29" i="16"/>
  <c r="G28" i="16"/>
  <c r="G38" i="16" s="1"/>
  <c r="F28" i="16"/>
  <c r="F38" i="16" s="1"/>
  <c r="E28" i="16"/>
  <c r="E38" i="16" s="1"/>
  <c r="D28" i="16"/>
  <c r="D38" i="16" s="1"/>
  <c r="R38" i="16" s="1"/>
  <c r="C28" i="16"/>
  <c r="C38" i="16" s="1"/>
  <c r="G27" i="16"/>
  <c r="F27" i="16"/>
  <c r="E27" i="16"/>
  <c r="D27" i="16"/>
  <c r="C27" i="16"/>
  <c r="G26" i="16"/>
  <c r="F26" i="16"/>
  <c r="E26" i="16"/>
  <c r="D26" i="16"/>
  <c r="C26" i="16"/>
  <c r="G25" i="16"/>
  <c r="G51" i="16" s="1"/>
  <c r="F25" i="16"/>
  <c r="F51" i="16" s="1"/>
  <c r="E25" i="16"/>
  <c r="E51" i="16" s="1"/>
  <c r="D25" i="16"/>
  <c r="D51" i="16" s="1"/>
  <c r="C25" i="16"/>
  <c r="C51" i="16" s="1"/>
  <c r="G24" i="16"/>
  <c r="G39" i="16" s="1"/>
  <c r="F24" i="16"/>
  <c r="F39" i="16" s="1"/>
  <c r="E24" i="16"/>
  <c r="E39" i="16" s="1"/>
  <c r="D24" i="16"/>
  <c r="D39" i="16" s="1"/>
  <c r="R39" i="16" s="1"/>
  <c r="C24" i="16"/>
  <c r="C39" i="16" s="1"/>
  <c r="G23" i="16"/>
  <c r="F23" i="16"/>
  <c r="E23" i="16"/>
  <c r="D23" i="16"/>
  <c r="C23" i="16"/>
  <c r="G22" i="16"/>
  <c r="F22" i="16"/>
  <c r="E22" i="16"/>
  <c r="D22" i="16"/>
  <c r="C22" i="16"/>
  <c r="G21" i="16"/>
  <c r="G44" i="16" s="1"/>
  <c r="F21" i="16"/>
  <c r="F44" i="16" s="1"/>
  <c r="E21" i="16"/>
  <c r="E44" i="16" s="1"/>
  <c r="D21" i="16"/>
  <c r="D44" i="16" s="1"/>
  <c r="R44" i="16" s="1"/>
  <c r="C21" i="16"/>
  <c r="C44" i="16" s="1"/>
  <c r="G20" i="16"/>
  <c r="F20" i="16"/>
  <c r="E20" i="16"/>
  <c r="D20" i="16"/>
  <c r="C20" i="16"/>
  <c r="G19" i="16"/>
  <c r="F19" i="16"/>
  <c r="E19" i="16"/>
  <c r="D19" i="16"/>
  <c r="C19" i="16"/>
  <c r="G18" i="16"/>
  <c r="F18" i="16"/>
  <c r="E18" i="16"/>
  <c r="D18" i="16"/>
  <c r="C18" i="16"/>
  <c r="G17" i="16"/>
  <c r="G46" i="16" s="1"/>
  <c r="F17" i="16"/>
  <c r="F46" i="16" s="1"/>
  <c r="E17" i="16"/>
  <c r="E46" i="16" s="1"/>
  <c r="D17" i="16"/>
  <c r="D46" i="16" s="1"/>
  <c r="R46" i="16" s="1"/>
  <c r="C17" i="16"/>
  <c r="C46" i="16" s="1"/>
  <c r="G16" i="16"/>
  <c r="G36" i="16" s="1"/>
  <c r="F16" i="16"/>
  <c r="F36" i="16" s="1"/>
  <c r="E16" i="16"/>
  <c r="E36" i="16" s="1"/>
  <c r="D16" i="16"/>
  <c r="D36" i="16" s="1"/>
  <c r="R36" i="16" s="1"/>
  <c r="C16" i="16"/>
  <c r="C36" i="16" s="1"/>
  <c r="G15" i="16"/>
  <c r="G35" i="16" s="1"/>
  <c r="F15" i="16"/>
  <c r="F35" i="16" s="1"/>
  <c r="E15" i="16"/>
  <c r="E35" i="16" s="1"/>
  <c r="D15" i="16"/>
  <c r="D35" i="16" s="1"/>
  <c r="R35" i="16" s="1"/>
  <c r="C15" i="16"/>
  <c r="C35" i="16" s="1"/>
  <c r="G14" i="16"/>
  <c r="F14" i="16"/>
  <c r="E14" i="16"/>
  <c r="D14" i="16"/>
  <c r="C14" i="16"/>
  <c r="G13" i="16"/>
  <c r="G41" i="16" s="1"/>
  <c r="F13" i="16"/>
  <c r="F41" i="16" s="1"/>
  <c r="E13" i="16"/>
  <c r="E41" i="16" s="1"/>
  <c r="D13" i="16"/>
  <c r="D41" i="16" s="1"/>
  <c r="R41" i="16" s="1"/>
  <c r="C13" i="16"/>
  <c r="C41" i="16" s="1"/>
  <c r="G12" i="16"/>
  <c r="G48" i="16" s="1"/>
  <c r="F12" i="16"/>
  <c r="F48" i="16" s="1"/>
  <c r="E12" i="16"/>
  <c r="E48" i="16" s="1"/>
  <c r="D12" i="16"/>
  <c r="D48" i="16" s="1"/>
  <c r="C12" i="16"/>
  <c r="C48" i="16" s="1"/>
  <c r="G11" i="16"/>
  <c r="F11" i="16"/>
  <c r="E11" i="16"/>
  <c r="D11" i="16"/>
  <c r="C11" i="16"/>
  <c r="G10" i="16"/>
  <c r="G43" i="16" s="1"/>
  <c r="F10" i="16"/>
  <c r="F43" i="16" s="1"/>
  <c r="E10" i="16"/>
  <c r="E43" i="16" s="1"/>
  <c r="D10" i="16"/>
  <c r="D43" i="16" s="1"/>
  <c r="R43" i="16" s="1"/>
  <c r="C10" i="16"/>
  <c r="C43" i="16" s="1"/>
  <c r="G9" i="16"/>
  <c r="F9" i="16"/>
  <c r="E9" i="16"/>
  <c r="D9" i="16"/>
  <c r="C9" i="16"/>
  <c r="G8" i="16"/>
  <c r="G49" i="16" s="1"/>
  <c r="F8" i="16"/>
  <c r="F49" i="16" s="1"/>
  <c r="E8" i="16"/>
  <c r="E49" i="16" s="1"/>
  <c r="D8" i="16"/>
  <c r="D49" i="16" s="1"/>
  <c r="R49" i="16" s="1"/>
  <c r="C8" i="16"/>
  <c r="C49" i="16" s="1"/>
  <c r="G7" i="16"/>
  <c r="F7" i="16"/>
  <c r="E7" i="16"/>
  <c r="D7" i="16"/>
  <c r="C7" i="16"/>
  <c r="G6" i="16"/>
  <c r="G42" i="16" s="1"/>
  <c r="F6" i="16"/>
  <c r="F42" i="16" s="1"/>
  <c r="E6" i="16"/>
  <c r="E42" i="16" s="1"/>
  <c r="D6" i="16"/>
  <c r="D42" i="16" s="1"/>
  <c r="R42" i="16" s="1"/>
  <c r="C6" i="16"/>
  <c r="C42" i="16" s="1"/>
  <c r="G4" i="16"/>
  <c r="G40" i="16" s="1"/>
  <c r="F4" i="16"/>
  <c r="F40" i="16" s="1"/>
  <c r="E4" i="16"/>
  <c r="E40" i="16" s="1"/>
  <c r="D4" i="16"/>
  <c r="D40" i="16" s="1"/>
  <c r="R40" i="16" s="1"/>
  <c r="C4" i="16"/>
  <c r="C40" i="16" s="1"/>
  <c r="G5" i="16"/>
  <c r="G34" i="16" s="1"/>
  <c r="F5" i="16"/>
  <c r="F34" i="16" s="1"/>
  <c r="E5" i="16"/>
  <c r="E34" i="16" s="1"/>
  <c r="D5" i="16"/>
  <c r="D34" i="16" s="1"/>
  <c r="C5" i="16"/>
  <c r="C34" i="16" s="1"/>
  <c r="G32" i="13"/>
  <c r="G37" i="13" s="1"/>
  <c r="F32" i="13"/>
  <c r="F37" i="13" s="1"/>
  <c r="E32" i="13"/>
  <c r="E37" i="13" s="1"/>
  <c r="D32" i="13"/>
  <c r="D37" i="13" s="1"/>
  <c r="R37" i="13" s="1"/>
  <c r="C32" i="13"/>
  <c r="C37" i="13" s="1"/>
  <c r="G31" i="13"/>
  <c r="F31" i="13"/>
  <c r="E31" i="13"/>
  <c r="D31" i="13"/>
  <c r="C31" i="13"/>
  <c r="G30" i="13"/>
  <c r="G45" i="13" s="1"/>
  <c r="F30" i="13"/>
  <c r="F45" i="13" s="1"/>
  <c r="E30" i="13"/>
  <c r="E45" i="13" s="1"/>
  <c r="D30" i="13"/>
  <c r="D45" i="13" s="1"/>
  <c r="R45" i="13" s="1"/>
  <c r="C30" i="13"/>
  <c r="C45" i="13" s="1"/>
  <c r="G29" i="13"/>
  <c r="F29" i="13"/>
  <c r="E29" i="13"/>
  <c r="D29" i="13"/>
  <c r="C29" i="13"/>
  <c r="G28" i="13"/>
  <c r="G38" i="13" s="1"/>
  <c r="F28" i="13"/>
  <c r="F38" i="13" s="1"/>
  <c r="E28" i="13"/>
  <c r="E38" i="13" s="1"/>
  <c r="D28" i="13"/>
  <c r="D38" i="13" s="1"/>
  <c r="R38" i="13" s="1"/>
  <c r="C28" i="13"/>
  <c r="C38" i="13" s="1"/>
  <c r="G27" i="13"/>
  <c r="F27" i="13"/>
  <c r="E27" i="13"/>
  <c r="D27" i="13"/>
  <c r="C27" i="13"/>
  <c r="G26" i="13"/>
  <c r="F26" i="13"/>
  <c r="E26" i="13"/>
  <c r="D26" i="13"/>
  <c r="C26" i="13"/>
  <c r="G25" i="13"/>
  <c r="G51" i="13" s="1"/>
  <c r="F25" i="13"/>
  <c r="F51" i="13" s="1"/>
  <c r="E25" i="13"/>
  <c r="E51" i="13" s="1"/>
  <c r="D25" i="13"/>
  <c r="D51" i="13" s="1"/>
  <c r="C25" i="13"/>
  <c r="C51" i="13" s="1"/>
  <c r="G24" i="13"/>
  <c r="G39" i="13" s="1"/>
  <c r="F24" i="13"/>
  <c r="F39" i="13" s="1"/>
  <c r="E24" i="13"/>
  <c r="E39" i="13" s="1"/>
  <c r="D24" i="13"/>
  <c r="D39" i="13" s="1"/>
  <c r="R39" i="13" s="1"/>
  <c r="C24" i="13"/>
  <c r="C39" i="13" s="1"/>
  <c r="G23" i="13"/>
  <c r="F23" i="13"/>
  <c r="E23" i="13"/>
  <c r="D23" i="13"/>
  <c r="C23" i="13"/>
  <c r="G22" i="13"/>
  <c r="F22" i="13"/>
  <c r="E22" i="13"/>
  <c r="D22" i="13"/>
  <c r="C22" i="13"/>
  <c r="G21" i="13"/>
  <c r="G44" i="13" s="1"/>
  <c r="F21" i="13"/>
  <c r="F44" i="13" s="1"/>
  <c r="E21" i="13"/>
  <c r="E44" i="13" s="1"/>
  <c r="D21" i="13"/>
  <c r="D44" i="13" s="1"/>
  <c r="R44" i="13" s="1"/>
  <c r="C21" i="13"/>
  <c r="C44" i="13" s="1"/>
  <c r="G20" i="13"/>
  <c r="F20" i="13"/>
  <c r="E20" i="13"/>
  <c r="D20" i="13"/>
  <c r="C20" i="13"/>
  <c r="G19" i="13"/>
  <c r="F19" i="13"/>
  <c r="E19" i="13"/>
  <c r="D19" i="13"/>
  <c r="C19" i="13"/>
  <c r="G18" i="13"/>
  <c r="F18" i="13"/>
  <c r="E18" i="13"/>
  <c r="D18" i="13"/>
  <c r="C18" i="13"/>
  <c r="G17" i="13"/>
  <c r="G46" i="13" s="1"/>
  <c r="F17" i="13"/>
  <c r="F46" i="13" s="1"/>
  <c r="E17" i="13"/>
  <c r="E46" i="13" s="1"/>
  <c r="D17" i="13"/>
  <c r="D46" i="13" s="1"/>
  <c r="R46" i="13" s="1"/>
  <c r="C17" i="13"/>
  <c r="C46" i="13" s="1"/>
  <c r="G16" i="13"/>
  <c r="G36" i="13" s="1"/>
  <c r="F16" i="13"/>
  <c r="F36" i="13" s="1"/>
  <c r="E16" i="13"/>
  <c r="E36" i="13" s="1"/>
  <c r="D16" i="13"/>
  <c r="D36" i="13" s="1"/>
  <c r="R36" i="13" s="1"/>
  <c r="C16" i="13"/>
  <c r="C36" i="13" s="1"/>
  <c r="G15" i="13"/>
  <c r="G35" i="13" s="1"/>
  <c r="F15" i="13"/>
  <c r="F35" i="13" s="1"/>
  <c r="E15" i="13"/>
  <c r="E35" i="13" s="1"/>
  <c r="D15" i="13"/>
  <c r="D35" i="13" s="1"/>
  <c r="R35" i="13" s="1"/>
  <c r="C15" i="13"/>
  <c r="C35" i="13" s="1"/>
  <c r="G14" i="13"/>
  <c r="F14" i="13"/>
  <c r="E14" i="13"/>
  <c r="D14" i="13"/>
  <c r="C14" i="13"/>
  <c r="G13" i="13"/>
  <c r="G41" i="13" s="1"/>
  <c r="F13" i="13"/>
  <c r="F41" i="13" s="1"/>
  <c r="E13" i="13"/>
  <c r="E41" i="13" s="1"/>
  <c r="D13" i="13"/>
  <c r="D41" i="13" s="1"/>
  <c r="R41" i="13" s="1"/>
  <c r="C13" i="13"/>
  <c r="C41" i="13" s="1"/>
  <c r="G12" i="13"/>
  <c r="G48" i="13" s="1"/>
  <c r="F12" i="13"/>
  <c r="F48" i="13" s="1"/>
  <c r="E12" i="13"/>
  <c r="E48" i="13" s="1"/>
  <c r="D12" i="13"/>
  <c r="D48" i="13" s="1"/>
  <c r="C12" i="13"/>
  <c r="C48" i="13" s="1"/>
  <c r="G11" i="13"/>
  <c r="F11" i="13"/>
  <c r="E11" i="13"/>
  <c r="D11" i="13"/>
  <c r="C11" i="13"/>
  <c r="G10" i="13"/>
  <c r="G43" i="13" s="1"/>
  <c r="F10" i="13"/>
  <c r="F43" i="13" s="1"/>
  <c r="E10" i="13"/>
  <c r="E43" i="13" s="1"/>
  <c r="D10" i="13"/>
  <c r="D43" i="13" s="1"/>
  <c r="R43" i="13" s="1"/>
  <c r="C10" i="13"/>
  <c r="C43" i="13" s="1"/>
  <c r="G9" i="13"/>
  <c r="F9" i="13"/>
  <c r="E9" i="13"/>
  <c r="D9" i="13"/>
  <c r="C9" i="13"/>
  <c r="G8" i="13"/>
  <c r="G49" i="13" s="1"/>
  <c r="F8" i="13"/>
  <c r="F49" i="13" s="1"/>
  <c r="E8" i="13"/>
  <c r="E49" i="13" s="1"/>
  <c r="D8" i="13"/>
  <c r="D49" i="13" s="1"/>
  <c r="R49" i="13" s="1"/>
  <c r="C8" i="13"/>
  <c r="C49" i="13" s="1"/>
  <c r="G7" i="13"/>
  <c r="F7" i="13"/>
  <c r="E7" i="13"/>
  <c r="D7" i="13"/>
  <c r="C7" i="13"/>
  <c r="G6" i="13"/>
  <c r="G42" i="13" s="1"/>
  <c r="F6" i="13"/>
  <c r="F42" i="13" s="1"/>
  <c r="E6" i="13"/>
  <c r="E42" i="13" s="1"/>
  <c r="D6" i="13"/>
  <c r="D42" i="13" s="1"/>
  <c r="R42" i="13" s="1"/>
  <c r="C6" i="13"/>
  <c r="C42" i="13" s="1"/>
  <c r="G4" i="13"/>
  <c r="G40" i="13" s="1"/>
  <c r="F4" i="13"/>
  <c r="F40" i="13" s="1"/>
  <c r="E4" i="13"/>
  <c r="E40" i="13" s="1"/>
  <c r="D4" i="13"/>
  <c r="D40" i="13" s="1"/>
  <c r="R40" i="13" s="1"/>
  <c r="C4" i="13"/>
  <c r="C40" i="13" s="1"/>
  <c r="G5" i="13"/>
  <c r="G34" i="13" s="1"/>
  <c r="F5" i="13"/>
  <c r="F34" i="13" s="1"/>
  <c r="E5" i="13"/>
  <c r="E34" i="13" s="1"/>
  <c r="D5" i="13"/>
  <c r="D34" i="13" s="1"/>
  <c r="C5" i="13"/>
  <c r="C34" i="13" s="1"/>
  <c r="E23" i="6" a="1"/>
  <c r="E23" i="6" s="1"/>
  <c r="G42" i="18" l="1"/>
  <c r="J42" i="18" s="1"/>
  <c r="G41" i="18"/>
  <c r="J41" i="18" s="1"/>
  <c r="G48" i="18"/>
  <c r="G51" i="18"/>
  <c r="G58" i="18"/>
  <c r="J58" i="18" s="1"/>
  <c r="E47" i="18"/>
  <c r="H47" i="18" s="1"/>
  <c r="G52" i="18"/>
  <c r="J52" i="18" s="1"/>
  <c r="H41" i="18"/>
  <c r="G49" i="18"/>
  <c r="J49" i="18" s="1"/>
  <c r="G60" i="18"/>
  <c r="J60" i="18" s="1"/>
  <c r="F47" i="18"/>
  <c r="I47" i="18" s="1"/>
  <c r="G43" i="18"/>
  <c r="J43" i="18" s="1"/>
  <c r="G47" i="20"/>
  <c r="J47" i="20" s="1"/>
  <c r="G33" i="20"/>
  <c r="J33" i="20" s="1"/>
  <c r="E47" i="13"/>
  <c r="O47" i="13" s="1"/>
  <c r="G65" i="20"/>
  <c r="J65" i="20" s="1"/>
  <c r="F33" i="13"/>
  <c r="P33" i="13" s="1"/>
  <c r="G50" i="20"/>
  <c r="J50" i="20" s="1"/>
  <c r="G47" i="13"/>
  <c r="Q47" i="13" s="1"/>
  <c r="I73" i="17"/>
  <c r="G73" i="17"/>
  <c r="J73" i="17" s="1"/>
  <c r="I76" i="17"/>
  <c r="G76" i="17"/>
  <c r="J76" i="17" s="1"/>
  <c r="I75" i="17"/>
  <c r="G75" i="17"/>
  <c r="J75" i="17" s="1"/>
  <c r="E33" i="13"/>
  <c r="O33" i="13" s="1"/>
  <c r="I68" i="17"/>
  <c r="G68" i="17"/>
  <c r="J68" i="17" s="1"/>
  <c r="I66" i="17"/>
  <c r="G66" i="17"/>
  <c r="J66" i="17" s="1"/>
  <c r="I67" i="17"/>
  <c r="G67" i="17"/>
  <c r="J67" i="17" s="1"/>
  <c r="I78" i="17"/>
  <c r="G78" i="17"/>
  <c r="J78" i="17" s="1"/>
  <c r="I69" i="17"/>
  <c r="G69" i="17"/>
  <c r="J69" i="17" s="1"/>
  <c r="I72" i="17"/>
  <c r="G72" i="17"/>
  <c r="J72" i="17" s="1"/>
  <c r="I70" i="17"/>
  <c r="G70" i="17"/>
  <c r="J70" i="17" s="1"/>
  <c r="I77" i="17"/>
  <c r="G77" i="17"/>
  <c r="J77" i="17" s="1"/>
  <c r="I71" i="17"/>
  <c r="G71" i="17"/>
  <c r="J71" i="17" s="1"/>
  <c r="C47" i="13"/>
  <c r="M47" i="13" s="1"/>
  <c r="I74" i="17"/>
  <c r="G74" i="17"/>
  <c r="J74" i="17" s="1"/>
  <c r="E72" i="13"/>
  <c r="E58" i="13"/>
  <c r="G64" i="13"/>
  <c r="G78" i="13"/>
  <c r="F53" i="16"/>
  <c r="F67" i="16"/>
  <c r="G33" i="13"/>
  <c r="Q33" i="13" s="1"/>
  <c r="F71" i="13"/>
  <c r="F57" i="13"/>
  <c r="F77" i="13"/>
  <c r="F63" i="13"/>
  <c r="F56" i="13"/>
  <c r="F70" i="13"/>
  <c r="G76" i="13"/>
  <c r="G62" i="13"/>
  <c r="F58" i="13"/>
  <c r="F72" i="13"/>
  <c r="C67" i="13"/>
  <c r="C53" i="13"/>
  <c r="F55" i="13"/>
  <c r="F69" i="13"/>
  <c r="C66" i="13"/>
  <c r="C52" i="13"/>
  <c r="G59" i="13"/>
  <c r="G73" i="13"/>
  <c r="D75" i="16"/>
  <c r="R75" i="16" s="1"/>
  <c r="D61" i="16"/>
  <c r="R61" i="16" s="1"/>
  <c r="C47" i="16"/>
  <c r="M47" i="16" s="1"/>
  <c r="G53" i="16"/>
  <c r="G67" i="16"/>
  <c r="G52" i="16"/>
  <c r="G66" i="16"/>
  <c r="E57" i="13"/>
  <c r="E71" i="13"/>
  <c r="E56" i="13"/>
  <c r="E70" i="13"/>
  <c r="E55" i="13"/>
  <c r="E69" i="13"/>
  <c r="G63" i="13"/>
  <c r="G77" i="13"/>
  <c r="G70" i="13"/>
  <c r="G56" i="13"/>
  <c r="G58" i="13"/>
  <c r="G72" i="13"/>
  <c r="D53" i="13"/>
  <c r="R53" i="13" s="1"/>
  <c r="D67" i="13"/>
  <c r="R67" i="13" s="1"/>
  <c r="G55" i="13"/>
  <c r="G69" i="13"/>
  <c r="D52" i="13"/>
  <c r="R52" i="13" s="1"/>
  <c r="D66" i="13"/>
  <c r="C54" i="16"/>
  <c r="C68" i="16"/>
  <c r="F47" i="16"/>
  <c r="P47" i="16" s="1"/>
  <c r="E75" i="16"/>
  <c r="E61" i="16"/>
  <c r="R48" i="16"/>
  <c r="D47" i="16"/>
  <c r="R51" i="16"/>
  <c r="C71" i="13"/>
  <c r="C57" i="13"/>
  <c r="F60" i="13"/>
  <c r="F74" i="13"/>
  <c r="D62" i="13"/>
  <c r="R62" i="13" s="1"/>
  <c r="D76" i="13"/>
  <c r="R76" i="13" s="1"/>
  <c r="E63" i="13"/>
  <c r="E77" i="13"/>
  <c r="F62" i="13"/>
  <c r="F76" i="13"/>
  <c r="F59" i="13"/>
  <c r="F73" i="13"/>
  <c r="C75" i="16"/>
  <c r="C61" i="16"/>
  <c r="F66" i="16"/>
  <c r="F52" i="16"/>
  <c r="G71" i="13"/>
  <c r="G57" i="13"/>
  <c r="E53" i="13"/>
  <c r="E67" i="13"/>
  <c r="E66" i="13"/>
  <c r="E52" i="13"/>
  <c r="D68" i="16"/>
  <c r="R68" i="16" s="1"/>
  <c r="D54" i="16"/>
  <c r="R54" i="16" s="1"/>
  <c r="F75" i="16"/>
  <c r="F61" i="16"/>
  <c r="E47" i="16"/>
  <c r="O47" i="16" s="1"/>
  <c r="C60" i="16"/>
  <c r="C74" i="16"/>
  <c r="G40" i="18"/>
  <c r="J40" i="18" s="1"/>
  <c r="C63" i="13"/>
  <c r="C77" i="13"/>
  <c r="C61" i="13"/>
  <c r="C75" i="13"/>
  <c r="F53" i="13"/>
  <c r="F67" i="13"/>
  <c r="E68" i="16"/>
  <c r="E54" i="16"/>
  <c r="G75" i="16"/>
  <c r="G61" i="16"/>
  <c r="D60" i="16"/>
  <c r="R60" i="16" s="1"/>
  <c r="D74" i="16"/>
  <c r="R74" i="16" s="1"/>
  <c r="C78" i="16"/>
  <c r="C64" i="16"/>
  <c r="F66" i="13"/>
  <c r="F52" i="13"/>
  <c r="D75" i="13"/>
  <c r="R75" i="13" s="1"/>
  <c r="D61" i="13"/>
  <c r="R61" i="13" s="1"/>
  <c r="G67" i="13"/>
  <c r="G53" i="13"/>
  <c r="G66" i="13"/>
  <c r="G52" i="13"/>
  <c r="C33" i="16"/>
  <c r="M33" i="16" s="1"/>
  <c r="F68" i="16"/>
  <c r="F54" i="16"/>
  <c r="G47" i="16"/>
  <c r="Q47" i="16" s="1"/>
  <c r="E74" i="16"/>
  <c r="E60" i="16"/>
  <c r="C76" i="16"/>
  <c r="C62" i="16"/>
  <c r="D64" i="16"/>
  <c r="R64" i="16" s="1"/>
  <c r="D78" i="16"/>
  <c r="R78" i="16" s="1"/>
  <c r="C73" i="16"/>
  <c r="C59" i="16"/>
  <c r="D71" i="13"/>
  <c r="R71" i="13" s="1"/>
  <c r="D57" i="13"/>
  <c r="R57" i="13" s="1"/>
  <c r="G68" i="16"/>
  <c r="G54" i="16"/>
  <c r="C57" i="16"/>
  <c r="C71" i="16"/>
  <c r="C77" i="16"/>
  <c r="C63" i="16"/>
  <c r="F74" i="16"/>
  <c r="F60" i="16"/>
  <c r="C56" i="16"/>
  <c r="C70" i="16"/>
  <c r="D76" i="16"/>
  <c r="R76" i="16" s="1"/>
  <c r="D62" i="16"/>
  <c r="R62" i="16" s="1"/>
  <c r="C72" i="16"/>
  <c r="C58" i="16"/>
  <c r="C69" i="16"/>
  <c r="C55" i="16"/>
  <c r="E78" i="16"/>
  <c r="E64" i="16"/>
  <c r="D73" i="16"/>
  <c r="R73" i="16" s="1"/>
  <c r="D59" i="16"/>
  <c r="R59" i="16" s="1"/>
  <c r="C58" i="13"/>
  <c r="C72" i="13"/>
  <c r="R51" i="13"/>
  <c r="D54" i="13"/>
  <c r="R54" i="13" s="1"/>
  <c r="D68" i="13"/>
  <c r="R68" i="13" s="1"/>
  <c r="C74" i="13"/>
  <c r="C60" i="13"/>
  <c r="E33" i="16"/>
  <c r="O33" i="16" s="1"/>
  <c r="D57" i="16"/>
  <c r="R57" i="16" s="1"/>
  <c r="D71" i="16"/>
  <c r="R71" i="16" s="1"/>
  <c r="D63" i="16"/>
  <c r="R63" i="16" s="1"/>
  <c r="D77" i="16"/>
  <c r="R77" i="16" s="1"/>
  <c r="G60" i="16"/>
  <c r="G74" i="16"/>
  <c r="D70" i="16"/>
  <c r="R70" i="16" s="1"/>
  <c r="D56" i="16"/>
  <c r="R56" i="16" s="1"/>
  <c r="E62" i="16"/>
  <c r="E76" i="16"/>
  <c r="D72" i="16"/>
  <c r="R72" i="16" s="1"/>
  <c r="D58" i="16"/>
  <c r="R58" i="16" s="1"/>
  <c r="D55" i="16"/>
  <c r="R55" i="16" s="1"/>
  <c r="D69" i="16"/>
  <c r="R69" i="16" s="1"/>
  <c r="F78" i="16"/>
  <c r="F64" i="16"/>
  <c r="E73" i="16"/>
  <c r="E59" i="16"/>
  <c r="C56" i="13"/>
  <c r="C70" i="13"/>
  <c r="C55" i="13"/>
  <c r="C69" i="13"/>
  <c r="D47" i="13"/>
  <c r="R48" i="13"/>
  <c r="R34" i="16"/>
  <c r="D33" i="16"/>
  <c r="F47" i="13"/>
  <c r="P47" i="13" s="1"/>
  <c r="C64" i="13"/>
  <c r="C78" i="13"/>
  <c r="F33" i="16"/>
  <c r="P33" i="16" s="1"/>
  <c r="E71" i="16"/>
  <c r="E57" i="16"/>
  <c r="E77" i="16"/>
  <c r="E63" i="16"/>
  <c r="E56" i="16"/>
  <c r="E70" i="16"/>
  <c r="F76" i="16"/>
  <c r="F62" i="16"/>
  <c r="E58" i="16"/>
  <c r="E72" i="16"/>
  <c r="E69" i="16"/>
  <c r="E55" i="16"/>
  <c r="G64" i="16"/>
  <c r="G78" i="16"/>
  <c r="F59" i="16"/>
  <c r="F73" i="16"/>
  <c r="D33" i="13"/>
  <c r="R34" i="13"/>
  <c r="C54" i="13"/>
  <c r="C68" i="13"/>
  <c r="E61" i="13"/>
  <c r="E75" i="13"/>
  <c r="F61" i="13"/>
  <c r="F75" i="13"/>
  <c r="E68" i="13"/>
  <c r="E54" i="13"/>
  <c r="G61" i="13"/>
  <c r="G75" i="13"/>
  <c r="D74" i="13"/>
  <c r="R74" i="13" s="1"/>
  <c r="D60" i="13"/>
  <c r="R60" i="13" s="1"/>
  <c r="C33" i="13"/>
  <c r="M33" i="13" s="1"/>
  <c r="F68" i="13"/>
  <c r="F54" i="13"/>
  <c r="E74" i="13"/>
  <c r="E60" i="13"/>
  <c r="C62" i="13"/>
  <c r="C76" i="13"/>
  <c r="D64" i="13"/>
  <c r="R64" i="13" s="1"/>
  <c r="D78" i="13"/>
  <c r="R78" i="13" s="1"/>
  <c r="C73" i="13"/>
  <c r="C59" i="13"/>
  <c r="G33" i="16"/>
  <c r="Q33" i="16" s="1"/>
  <c r="F57" i="16"/>
  <c r="F71" i="16"/>
  <c r="F63" i="16"/>
  <c r="F77" i="16"/>
  <c r="F70" i="16"/>
  <c r="F56" i="16"/>
  <c r="G62" i="16"/>
  <c r="G76" i="16"/>
  <c r="F72" i="16"/>
  <c r="F58" i="16"/>
  <c r="C67" i="16"/>
  <c r="C53" i="16"/>
  <c r="F69" i="16"/>
  <c r="F55" i="16"/>
  <c r="C66" i="16"/>
  <c r="C52" i="16"/>
  <c r="G73" i="16"/>
  <c r="G59" i="16"/>
  <c r="E64" i="13"/>
  <c r="E78" i="13"/>
  <c r="D59" i="13"/>
  <c r="R59" i="13" s="1"/>
  <c r="D73" i="13"/>
  <c r="R73" i="13" s="1"/>
  <c r="G71" i="16"/>
  <c r="G57" i="16"/>
  <c r="G77" i="16"/>
  <c r="G63" i="16"/>
  <c r="G56" i="16"/>
  <c r="G70" i="16"/>
  <c r="G72" i="16"/>
  <c r="G58" i="16"/>
  <c r="D53" i="16"/>
  <c r="R53" i="16" s="1"/>
  <c r="D67" i="16"/>
  <c r="R67" i="16" s="1"/>
  <c r="G69" i="16"/>
  <c r="G55" i="16"/>
  <c r="D66" i="16"/>
  <c r="D52" i="16"/>
  <c r="R52" i="16" s="1"/>
  <c r="G68" i="13"/>
  <c r="G54" i="13"/>
  <c r="D77" i="13"/>
  <c r="R77" i="13" s="1"/>
  <c r="D63" i="13"/>
  <c r="R63" i="13" s="1"/>
  <c r="G74" i="13"/>
  <c r="G60" i="13"/>
  <c r="D56" i="13"/>
  <c r="R56" i="13" s="1"/>
  <c r="D70" i="13"/>
  <c r="R70" i="13" s="1"/>
  <c r="E76" i="13"/>
  <c r="E62" i="13"/>
  <c r="D58" i="13"/>
  <c r="R58" i="13" s="1"/>
  <c r="D72" i="13"/>
  <c r="R72" i="13" s="1"/>
  <c r="D69" i="13"/>
  <c r="R69" i="13" s="1"/>
  <c r="D55" i="13"/>
  <c r="R55" i="13" s="1"/>
  <c r="F64" i="13"/>
  <c r="F78" i="13"/>
  <c r="E59" i="13"/>
  <c r="E73" i="13"/>
  <c r="E53" i="16"/>
  <c r="E67" i="16"/>
  <c r="E66" i="16"/>
  <c r="E52" i="16"/>
  <c r="G44" i="18"/>
  <c r="J44" i="18" s="1"/>
  <c r="G37" i="18"/>
  <c r="J37" i="18" s="1"/>
  <c r="G50" i="21"/>
  <c r="J50" i="21" s="1"/>
  <c r="G33" i="21"/>
  <c r="J33" i="21" s="1"/>
  <c r="G65" i="21"/>
  <c r="J65" i="21" s="1"/>
  <c r="G34" i="18"/>
  <c r="J34" i="18" s="1"/>
  <c r="G62" i="18"/>
  <c r="J62" i="18" s="1"/>
  <c r="H43" i="18"/>
  <c r="G38" i="18"/>
  <c r="J38" i="18" s="1"/>
  <c r="G64" i="18"/>
  <c r="J64" i="18" s="1"/>
  <c r="E33" i="18"/>
  <c r="H33" i="18" s="1"/>
  <c r="G59" i="18"/>
  <c r="J59" i="18" s="1"/>
  <c r="F65" i="18"/>
  <c r="I65" i="18" s="1"/>
  <c r="G53" i="18"/>
  <c r="J53" i="18" s="1"/>
  <c r="H62" i="18"/>
  <c r="H36" i="18"/>
  <c r="G35" i="18"/>
  <c r="J35" i="18" s="1"/>
  <c r="F33" i="18"/>
  <c r="I33" i="18" s="1"/>
  <c r="E37" i="17"/>
  <c r="H37" i="17" s="1"/>
  <c r="E32" i="17"/>
  <c r="H32" i="17" s="1"/>
  <c r="E54" i="17"/>
  <c r="H54" i="17" s="1"/>
  <c r="E7" i="17"/>
  <c r="H7" i="17" s="1"/>
  <c r="E52" i="17"/>
  <c r="H52" i="17" s="1"/>
  <c r="E27" i="17"/>
  <c r="H27" i="17" s="1"/>
  <c r="E53" i="17"/>
  <c r="H53" i="17" s="1"/>
  <c r="E23" i="17"/>
  <c r="H23" i="17" s="1"/>
  <c r="E42" i="17"/>
  <c r="H42" i="17" s="1"/>
  <c r="E6" i="17"/>
  <c r="H6" i="17" s="1"/>
  <c r="E64" i="17"/>
  <c r="H64" i="17" s="1"/>
  <c r="E29" i="17"/>
  <c r="H29" i="17" s="1"/>
  <c r="E34" i="17"/>
  <c r="E5" i="17"/>
  <c r="H5" i="17" s="1"/>
  <c r="E15" i="17"/>
  <c r="H15" i="17" s="1"/>
  <c r="E35" i="17"/>
  <c r="H35" i="17" s="1"/>
  <c r="E49" i="17"/>
  <c r="H49" i="17" s="1"/>
  <c r="E8" i="17"/>
  <c r="H8" i="17" s="1"/>
  <c r="E38" i="17"/>
  <c r="H38" i="17" s="1"/>
  <c r="E28" i="17"/>
  <c r="H28" i="17" s="1"/>
  <c r="E26" i="17"/>
  <c r="H26" i="17" s="1"/>
  <c r="E55" i="17"/>
  <c r="H55" i="17" s="1"/>
  <c r="E22" i="17"/>
  <c r="H22" i="17" s="1"/>
  <c r="E58" i="17"/>
  <c r="H58" i="17" s="1"/>
  <c r="E19" i="17"/>
  <c r="H19" i="17" s="1"/>
  <c r="E56" i="17"/>
  <c r="H56" i="17" s="1"/>
  <c r="E63" i="17"/>
  <c r="H63" i="17" s="1"/>
  <c r="E14" i="17"/>
  <c r="H14" i="17" s="1"/>
  <c r="E57" i="17"/>
  <c r="H57" i="17" s="1"/>
  <c r="E11" i="17"/>
  <c r="H11" i="17" s="1"/>
  <c r="E51" i="17"/>
  <c r="E25" i="17"/>
  <c r="H25" i="17" s="1"/>
  <c r="E21" i="17"/>
  <c r="H21" i="17" s="1"/>
  <c r="E44" i="17"/>
  <c r="H44" i="17" s="1"/>
  <c r="E36" i="17"/>
  <c r="H36" i="17" s="1"/>
  <c r="E16" i="17"/>
  <c r="H16" i="17" s="1"/>
  <c r="E48" i="17"/>
  <c r="E12" i="17"/>
  <c r="H12" i="17" s="1"/>
  <c r="E43" i="17"/>
  <c r="H43" i="17" s="1"/>
  <c r="E10" i="17"/>
  <c r="H10" i="17" s="1"/>
  <c r="E24" i="17"/>
  <c r="H24" i="17" s="1"/>
  <c r="E39" i="17"/>
  <c r="H39" i="17" s="1"/>
  <c r="E60" i="17"/>
  <c r="H60" i="17" s="1"/>
  <c r="E18" i="17"/>
  <c r="H18" i="17" s="1"/>
  <c r="E40" i="17"/>
  <c r="H40" i="17" s="1"/>
  <c r="E4" i="17"/>
  <c r="H4" i="17" s="1"/>
  <c r="E46" i="17"/>
  <c r="H46" i="17" s="1"/>
  <c r="E17" i="17"/>
  <c r="H17" i="17" s="1"/>
  <c r="E31" i="17"/>
  <c r="H31" i="17" s="1"/>
  <c r="E59" i="17"/>
  <c r="H59" i="17" s="1"/>
  <c r="E62" i="17"/>
  <c r="H62" i="17" s="1"/>
  <c r="E20" i="17"/>
  <c r="H20" i="17" s="1"/>
  <c r="E30" i="17"/>
  <c r="H30" i="17" s="1"/>
  <c r="E45" i="17"/>
  <c r="H45" i="17" s="1"/>
  <c r="E61" i="17"/>
  <c r="H61" i="17" s="1"/>
  <c r="E9" i="17"/>
  <c r="H9" i="17" s="1"/>
  <c r="E41" i="17"/>
  <c r="H41" i="17" s="1"/>
  <c r="E13" i="17"/>
  <c r="H13" i="17" s="1"/>
  <c r="J47" i="19"/>
  <c r="O47" i="19" s="1"/>
  <c r="O49" i="19"/>
  <c r="H47" i="19"/>
  <c r="M47" i="19" s="1"/>
  <c r="H33" i="19"/>
  <c r="M33" i="19" s="1"/>
  <c r="I33" i="19"/>
  <c r="N33" i="19" s="1"/>
  <c r="F30" i="17"/>
  <c r="I30" i="17" s="1"/>
  <c r="F45" i="17"/>
  <c r="G30" i="17"/>
  <c r="J30" i="17" s="1"/>
  <c r="F61" i="17"/>
  <c r="G9" i="17"/>
  <c r="J9" i="17" s="1"/>
  <c r="F9" i="17"/>
  <c r="I9" i="17" s="1"/>
  <c r="L33" i="19"/>
  <c r="Q33" i="19" s="1"/>
  <c r="I65" i="19"/>
  <c r="N65" i="19" s="1"/>
  <c r="F41" i="17"/>
  <c r="G13" i="17"/>
  <c r="J13" i="17" s="1"/>
  <c r="F13" i="17"/>
  <c r="I13" i="17" s="1"/>
  <c r="L65" i="19"/>
  <c r="Q65" i="19" s="1"/>
  <c r="J50" i="19"/>
  <c r="O50" i="19" s="1"/>
  <c r="F37" i="17"/>
  <c r="F32" i="17"/>
  <c r="I32" i="17" s="1"/>
  <c r="G32" i="17"/>
  <c r="J32" i="17" s="1"/>
  <c r="F54" i="17"/>
  <c r="G7" i="17"/>
  <c r="J7" i="17" s="1"/>
  <c r="F7" i="17"/>
  <c r="I7" i="17" s="1"/>
  <c r="K65" i="19"/>
  <c r="P65" i="19" s="1"/>
  <c r="G27" i="17"/>
  <c r="J27" i="17" s="1"/>
  <c r="F52" i="17"/>
  <c r="F27" i="17"/>
  <c r="I27" i="17" s="1"/>
  <c r="F23" i="17"/>
  <c r="I23" i="17" s="1"/>
  <c r="F53" i="17"/>
  <c r="G23" i="17"/>
  <c r="J23" i="17" s="1"/>
  <c r="F42" i="17"/>
  <c r="G6" i="17"/>
  <c r="J6" i="17" s="1"/>
  <c r="F6" i="17"/>
  <c r="I6" i="17" s="1"/>
  <c r="H65" i="19"/>
  <c r="M65" i="19" s="1"/>
  <c r="G29" i="17"/>
  <c r="J29" i="17" s="1"/>
  <c r="F64" i="17"/>
  <c r="F29" i="17"/>
  <c r="I29" i="17" s="1"/>
  <c r="G5" i="17"/>
  <c r="J5" i="17" s="1"/>
  <c r="F5" i="17"/>
  <c r="I5" i="17" s="1"/>
  <c r="F34" i="17"/>
  <c r="H50" i="19"/>
  <c r="M50" i="19" s="1"/>
  <c r="F35" i="17"/>
  <c r="F15" i="17"/>
  <c r="I15" i="17" s="1"/>
  <c r="G15" i="17"/>
  <c r="J15" i="17" s="1"/>
  <c r="F49" i="17"/>
  <c r="G8" i="17"/>
  <c r="J8" i="17" s="1"/>
  <c r="F8" i="17"/>
  <c r="I8" i="17" s="1"/>
  <c r="K33" i="19"/>
  <c r="P33" i="19" s="1"/>
  <c r="K50" i="19"/>
  <c r="P50" i="19" s="1"/>
  <c r="P51" i="19"/>
  <c r="F38" i="17"/>
  <c r="G28" i="17"/>
  <c r="J28" i="17" s="1"/>
  <c r="F28" i="17"/>
  <c r="I28" i="17" s="1"/>
  <c r="F55" i="17"/>
  <c r="F26" i="17"/>
  <c r="I26" i="17" s="1"/>
  <c r="G26" i="17"/>
  <c r="J26" i="17" s="1"/>
  <c r="F22" i="17"/>
  <c r="I22" i="17" s="1"/>
  <c r="F58" i="17"/>
  <c r="G22" i="17"/>
  <c r="J22" i="17" s="1"/>
  <c r="F19" i="17"/>
  <c r="I19" i="17" s="1"/>
  <c r="G19" i="17"/>
  <c r="J19" i="17" s="1"/>
  <c r="F56" i="17"/>
  <c r="F63" i="17"/>
  <c r="G14" i="17"/>
  <c r="J14" i="17" s="1"/>
  <c r="F14" i="17"/>
  <c r="I14" i="17" s="1"/>
  <c r="F57" i="17"/>
  <c r="G11" i="17"/>
  <c r="J11" i="17" s="1"/>
  <c r="F11" i="17"/>
  <c r="I11" i="17" s="1"/>
  <c r="G25" i="17"/>
  <c r="J25" i="17" s="1"/>
  <c r="F51" i="17"/>
  <c r="F25" i="17"/>
  <c r="I25" i="17" s="1"/>
  <c r="F44" i="17"/>
  <c r="F21" i="17"/>
  <c r="I21" i="17" s="1"/>
  <c r="G21" i="17"/>
  <c r="J21" i="17" s="1"/>
  <c r="F36" i="17"/>
  <c r="G16" i="17"/>
  <c r="J16" i="17" s="1"/>
  <c r="F16" i="17"/>
  <c r="I16" i="17" s="1"/>
  <c r="F48" i="17"/>
  <c r="G12" i="17"/>
  <c r="J12" i="17" s="1"/>
  <c r="F12" i="17"/>
  <c r="I12" i="17" s="1"/>
  <c r="F43" i="17"/>
  <c r="G10" i="17"/>
  <c r="J10" i="17" s="1"/>
  <c r="F10" i="17"/>
  <c r="I10" i="17" s="1"/>
  <c r="L50" i="19"/>
  <c r="Q50" i="19" s="1"/>
  <c r="F39" i="17"/>
  <c r="F24" i="17"/>
  <c r="I24" i="17" s="1"/>
  <c r="G24" i="17"/>
  <c r="J24" i="17" s="1"/>
  <c r="G18" i="17"/>
  <c r="J18" i="17" s="1"/>
  <c r="F18" i="17"/>
  <c r="I18" i="17" s="1"/>
  <c r="F60" i="17"/>
  <c r="F40" i="17"/>
  <c r="G4" i="17"/>
  <c r="J4" i="17" s="1"/>
  <c r="F4" i="17"/>
  <c r="I4" i="17" s="1"/>
  <c r="I50" i="19"/>
  <c r="N50" i="19" s="1"/>
  <c r="Q48" i="19"/>
  <c r="L47" i="19"/>
  <c r="Q47" i="19" s="1"/>
  <c r="F46" i="17"/>
  <c r="F17" i="17"/>
  <c r="I17" i="17" s="1"/>
  <c r="G17" i="17"/>
  <c r="J17" i="17" s="1"/>
  <c r="J33" i="19"/>
  <c r="O33" i="19" s="1"/>
  <c r="O35" i="19"/>
  <c r="N48" i="19"/>
  <c r="I47" i="19"/>
  <c r="N47" i="19" s="1"/>
  <c r="F31" i="17"/>
  <c r="I31" i="17" s="1"/>
  <c r="G31" i="17"/>
  <c r="J31" i="17" s="1"/>
  <c r="F59" i="17"/>
  <c r="F62" i="17"/>
  <c r="F20" i="17"/>
  <c r="I20" i="17" s="1"/>
  <c r="G20" i="17"/>
  <c r="J20" i="17" s="1"/>
  <c r="J65" i="19"/>
  <c r="O65" i="19" s="1"/>
  <c r="K47" i="19"/>
  <c r="P47" i="19" s="1"/>
  <c r="P48" i="19"/>
  <c r="G54" i="18"/>
  <c r="J54" i="18" s="1"/>
  <c r="G61" i="18"/>
  <c r="J61" i="18" s="1"/>
  <c r="G55" i="18"/>
  <c r="J55" i="18" s="1"/>
  <c r="H61" i="18"/>
  <c r="G56" i="18"/>
  <c r="J56" i="18" s="1"/>
  <c r="G63" i="18"/>
  <c r="J63" i="18" s="1"/>
  <c r="G57" i="18"/>
  <c r="J57" i="18" s="1"/>
  <c r="F50" i="18"/>
  <c r="I50" i="18" s="1"/>
  <c r="E50" i="18"/>
  <c r="H50" i="18" s="1"/>
  <c r="J51" i="18"/>
  <c r="J48" i="18"/>
  <c r="G47" i="18"/>
  <c r="J47" i="18" s="1"/>
  <c r="G33" i="18" l="1"/>
  <c r="J33" i="18" s="1"/>
  <c r="E50" i="16"/>
  <c r="O50" i="16" s="1"/>
  <c r="F50" i="13"/>
  <c r="P50" i="13" s="1"/>
  <c r="C50" i="13"/>
  <c r="M50" i="13" s="1"/>
  <c r="F50" i="16"/>
  <c r="P50" i="16" s="1"/>
  <c r="G50" i="13"/>
  <c r="Q50" i="13" s="1"/>
  <c r="C50" i="16"/>
  <c r="M50" i="16" s="1"/>
  <c r="G50" i="16"/>
  <c r="Q50" i="16" s="1"/>
  <c r="E50" i="13"/>
  <c r="O50" i="13" s="1"/>
  <c r="C65" i="13"/>
  <c r="M65" i="13" s="1"/>
  <c r="D50" i="16"/>
  <c r="F65" i="13"/>
  <c r="P65" i="13" s="1"/>
  <c r="D50" i="13"/>
  <c r="R47" i="16"/>
  <c r="N47" i="16"/>
  <c r="C65" i="16"/>
  <c r="M65" i="16" s="1"/>
  <c r="E65" i="13"/>
  <c r="O65" i="13" s="1"/>
  <c r="G65" i="16"/>
  <c r="Q65" i="16" s="1"/>
  <c r="R33" i="16"/>
  <c r="N33" i="16"/>
  <c r="G65" i="13"/>
  <c r="Q65" i="13" s="1"/>
  <c r="R66" i="16"/>
  <c r="D65" i="16"/>
  <c r="R33" i="13"/>
  <c r="N33" i="13"/>
  <c r="E65" i="16"/>
  <c r="O65" i="16" s="1"/>
  <c r="R47" i="13"/>
  <c r="N47" i="13"/>
  <c r="F65" i="16"/>
  <c r="P65" i="16" s="1"/>
  <c r="R66" i="13"/>
  <c r="D65" i="13"/>
  <c r="G65" i="18"/>
  <c r="J65" i="18" s="1"/>
  <c r="H48" i="17"/>
  <c r="E47" i="17"/>
  <c r="H47" i="17" s="1"/>
  <c r="E65" i="17"/>
  <c r="H65" i="17" s="1"/>
  <c r="H34" i="17"/>
  <c r="E33" i="17"/>
  <c r="H33" i="17" s="1"/>
  <c r="H51" i="17"/>
  <c r="E50" i="17"/>
  <c r="H50" i="17" s="1"/>
  <c r="I60" i="17"/>
  <c r="G60" i="17"/>
  <c r="J60" i="17" s="1"/>
  <c r="I64" i="17"/>
  <c r="G64" i="17"/>
  <c r="J64" i="17" s="1"/>
  <c r="I62" i="17"/>
  <c r="G62" i="17"/>
  <c r="J62" i="17" s="1"/>
  <c r="I59" i="17"/>
  <c r="G59" i="17"/>
  <c r="J59" i="17" s="1"/>
  <c r="I42" i="17"/>
  <c r="G42" i="17"/>
  <c r="J42" i="17" s="1"/>
  <c r="I46" i="17"/>
  <c r="G46" i="17"/>
  <c r="J46" i="17" s="1"/>
  <c r="I40" i="17"/>
  <c r="G40" i="17"/>
  <c r="J40" i="17" s="1"/>
  <c r="I51" i="17"/>
  <c r="G51" i="17"/>
  <c r="F50" i="17"/>
  <c r="I50" i="17" s="1"/>
  <c r="I61" i="17"/>
  <c r="G61" i="17"/>
  <c r="J61" i="17" s="1"/>
  <c r="I39" i="17"/>
  <c r="G39" i="17"/>
  <c r="J39" i="17" s="1"/>
  <c r="I36" i="17"/>
  <c r="G36" i="17"/>
  <c r="J36" i="17" s="1"/>
  <c r="I45" i="17"/>
  <c r="G45" i="17"/>
  <c r="J45" i="17" s="1"/>
  <c r="I48" i="17"/>
  <c r="F47" i="17"/>
  <c r="I47" i="17" s="1"/>
  <c r="G48" i="17"/>
  <c r="I44" i="17"/>
  <c r="G44" i="17"/>
  <c r="J44" i="17" s="1"/>
  <c r="I37" i="17"/>
  <c r="G37" i="17"/>
  <c r="J37" i="17" s="1"/>
  <c r="I43" i="17"/>
  <c r="G43" i="17"/>
  <c r="J43" i="17" s="1"/>
  <c r="I35" i="17"/>
  <c r="G35" i="17"/>
  <c r="J35" i="17" s="1"/>
  <c r="I34" i="17"/>
  <c r="G34" i="17"/>
  <c r="F33" i="17"/>
  <c r="I33" i="17" s="1"/>
  <c r="I52" i="17"/>
  <c r="G52" i="17"/>
  <c r="J52" i="17" s="1"/>
  <c r="I57" i="17"/>
  <c r="G57" i="17"/>
  <c r="J57" i="17" s="1"/>
  <c r="I58" i="17"/>
  <c r="G58" i="17"/>
  <c r="J58" i="17" s="1"/>
  <c r="I53" i="17"/>
  <c r="G53" i="17"/>
  <c r="J53" i="17" s="1"/>
  <c r="I56" i="17"/>
  <c r="G56" i="17"/>
  <c r="J56" i="17" s="1"/>
  <c r="F65" i="17"/>
  <c r="I65" i="17" s="1"/>
  <c r="I63" i="17"/>
  <c r="G63" i="17"/>
  <c r="J63" i="17" s="1"/>
  <c r="I55" i="17"/>
  <c r="G55" i="17"/>
  <c r="J55" i="17" s="1"/>
  <c r="I41" i="17"/>
  <c r="G41" i="17"/>
  <c r="J41" i="17" s="1"/>
  <c r="I38" i="17"/>
  <c r="G38" i="17"/>
  <c r="J38" i="17" s="1"/>
  <c r="I49" i="17"/>
  <c r="G49" i="17"/>
  <c r="J49" i="17" s="1"/>
  <c r="I54" i="17"/>
  <c r="G54" i="17"/>
  <c r="J54" i="17" s="1"/>
  <c r="G50" i="18"/>
  <c r="J50" i="18" s="1"/>
  <c r="G32" i="10"/>
  <c r="G37" i="10" s="1"/>
  <c r="F32" i="10"/>
  <c r="F37" i="10" s="1"/>
  <c r="E32" i="10"/>
  <c r="D32" i="10"/>
  <c r="D37" i="10" s="1"/>
  <c r="R37" i="10" s="1"/>
  <c r="C32" i="10"/>
  <c r="C37" i="10" s="1"/>
  <c r="G31" i="10"/>
  <c r="F31" i="10"/>
  <c r="E31" i="10"/>
  <c r="D31" i="10"/>
  <c r="C31" i="10"/>
  <c r="G30" i="10"/>
  <c r="F30" i="10"/>
  <c r="F45" i="10" s="1"/>
  <c r="E30" i="10"/>
  <c r="E45" i="10" s="1"/>
  <c r="D30" i="10"/>
  <c r="C30" i="10"/>
  <c r="C45" i="10" s="1"/>
  <c r="G29" i="10"/>
  <c r="Q29" i="10" s="1"/>
  <c r="F29" i="10"/>
  <c r="E29" i="10"/>
  <c r="D29" i="10"/>
  <c r="C29" i="10"/>
  <c r="G28" i="10"/>
  <c r="G38" i="10" s="1"/>
  <c r="F28" i="10"/>
  <c r="F38" i="10" s="1"/>
  <c r="E28" i="10"/>
  <c r="E38" i="10" s="1"/>
  <c r="D28" i="10"/>
  <c r="D38" i="10" s="1"/>
  <c r="R38" i="10" s="1"/>
  <c r="C28" i="10"/>
  <c r="G27" i="10"/>
  <c r="F27" i="10"/>
  <c r="P27" i="10" s="1"/>
  <c r="E27" i="10"/>
  <c r="O27" i="10" s="1"/>
  <c r="D27" i="10"/>
  <c r="C27" i="10"/>
  <c r="G26" i="10"/>
  <c r="F26" i="10"/>
  <c r="E26" i="10"/>
  <c r="D26" i="10"/>
  <c r="C26" i="10"/>
  <c r="G25" i="10"/>
  <c r="F25" i="10"/>
  <c r="E25" i="10"/>
  <c r="E51" i="10" s="1"/>
  <c r="D25" i="10"/>
  <c r="D51" i="10" s="1"/>
  <c r="C25" i="10"/>
  <c r="G24" i="10"/>
  <c r="G39" i="10" s="1"/>
  <c r="F24" i="10"/>
  <c r="F39" i="10" s="1"/>
  <c r="E24" i="10"/>
  <c r="E39" i="10" s="1"/>
  <c r="D24" i="10"/>
  <c r="D39" i="10" s="1"/>
  <c r="R39" i="10" s="1"/>
  <c r="C24" i="10"/>
  <c r="G23" i="10"/>
  <c r="F23" i="10"/>
  <c r="P23" i="10" s="1"/>
  <c r="E23" i="10"/>
  <c r="D23" i="10"/>
  <c r="C23" i="10"/>
  <c r="G22" i="10"/>
  <c r="F22" i="10"/>
  <c r="P22" i="10" s="1"/>
  <c r="E22" i="10"/>
  <c r="D22" i="10"/>
  <c r="C22" i="10"/>
  <c r="G21" i="10"/>
  <c r="G44" i="10" s="1"/>
  <c r="F21" i="10"/>
  <c r="E21" i="10"/>
  <c r="D21" i="10"/>
  <c r="D44" i="10" s="1"/>
  <c r="R44" i="10" s="1"/>
  <c r="C21" i="10"/>
  <c r="C44" i="10" s="1"/>
  <c r="G20" i="10"/>
  <c r="F20" i="10"/>
  <c r="E20" i="10"/>
  <c r="O20" i="10" s="1"/>
  <c r="D20" i="10"/>
  <c r="C20" i="10"/>
  <c r="G19" i="10"/>
  <c r="F19" i="10"/>
  <c r="E19" i="10"/>
  <c r="D19" i="10"/>
  <c r="C19" i="10"/>
  <c r="G18" i="10"/>
  <c r="F18" i="10"/>
  <c r="E18" i="10"/>
  <c r="D18" i="10"/>
  <c r="C18" i="10"/>
  <c r="G17" i="10"/>
  <c r="G46" i="10" s="1"/>
  <c r="F17" i="10"/>
  <c r="E17" i="10"/>
  <c r="E46" i="10" s="1"/>
  <c r="D17" i="10"/>
  <c r="D46" i="10" s="1"/>
  <c r="R46" i="10" s="1"/>
  <c r="C17" i="10"/>
  <c r="C46" i="10" s="1"/>
  <c r="G16" i="10"/>
  <c r="G36" i="10" s="1"/>
  <c r="F16" i="10"/>
  <c r="F36" i="10" s="1"/>
  <c r="E16" i="10"/>
  <c r="E36" i="10" s="1"/>
  <c r="D16" i="10"/>
  <c r="C16" i="10"/>
  <c r="G15" i="10"/>
  <c r="G35" i="10" s="1"/>
  <c r="F15" i="10"/>
  <c r="F35" i="10" s="1"/>
  <c r="E15" i="10"/>
  <c r="D15" i="10"/>
  <c r="D35" i="10" s="1"/>
  <c r="R35" i="10" s="1"/>
  <c r="C15" i="10"/>
  <c r="C35" i="10" s="1"/>
  <c r="G14" i="10"/>
  <c r="F14" i="10"/>
  <c r="E14" i="10"/>
  <c r="D14" i="10"/>
  <c r="C14" i="10"/>
  <c r="G13" i="10"/>
  <c r="F13" i="10"/>
  <c r="F41" i="10" s="1"/>
  <c r="E13" i="10"/>
  <c r="E41" i="10" s="1"/>
  <c r="D13" i="10"/>
  <c r="C13" i="10"/>
  <c r="C41" i="10" s="1"/>
  <c r="G12" i="10"/>
  <c r="G48" i="10" s="1"/>
  <c r="F12" i="10"/>
  <c r="E12" i="10"/>
  <c r="E48" i="10" s="1"/>
  <c r="D12" i="10"/>
  <c r="D48" i="10" s="1"/>
  <c r="C12" i="10"/>
  <c r="G11" i="10"/>
  <c r="F11" i="10"/>
  <c r="E11" i="10"/>
  <c r="D11" i="10"/>
  <c r="C11" i="10"/>
  <c r="G10" i="10"/>
  <c r="G43" i="10" s="1"/>
  <c r="F10" i="10"/>
  <c r="F43" i="10" s="1"/>
  <c r="E10" i="10"/>
  <c r="D10" i="10"/>
  <c r="D43" i="10" s="1"/>
  <c r="R43" i="10" s="1"/>
  <c r="C10" i="10"/>
  <c r="G9" i="10"/>
  <c r="F9" i="10"/>
  <c r="E9" i="10"/>
  <c r="D9" i="10"/>
  <c r="C9" i="10"/>
  <c r="G8" i="10"/>
  <c r="F8" i="10"/>
  <c r="F49" i="10" s="1"/>
  <c r="E8" i="10"/>
  <c r="D8" i="10"/>
  <c r="C8" i="10"/>
  <c r="G7" i="10"/>
  <c r="F7" i="10"/>
  <c r="E7" i="10"/>
  <c r="D7" i="10"/>
  <c r="C7" i="10"/>
  <c r="G6" i="10"/>
  <c r="F6" i="10"/>
  <c r="F42" i="10" s="1"/>
  <c r="E6" i="10"/>
  <c r="E42" i="10" s="1"/>
  <c r="D6" i="10"/>
  <c r="D42" i="10" s="1"/>
  <c r="R42" i="10" s="1"/>
  <c r="C6" i="10"/>
  <c r="G5" i="10"/>
  <c r="F5" i="10"/>
  <c r="E5" i="10"/>
  <c r="D5" i="10"/>
  <c r="D34" i="10" s="1"/>
  <c r="C5" i="10"/>
  <c r="O23" i="10"/>
  <c r="G4" i="10"/>
  <c r="F4" i="10"/>
  <c r="E4" i="10"/>
  <c r="E40" i="10" s="1"/>
  <c r="D4" i="10"/>
  <c r="D40" i="10" s="1"/>
  <c r="R40" i="10" s="1"/>
  <c r="C4" i="10"/>
  <c r="C40" i="10" s="1"/>
  <c r="C15" i="8"/>
  <c r="C11" i="8"/>
  <c r="C5" i="8"/>
  <c r="D32" i="8"/>
  <c r="D31" i="8"/>
  <c r="D30" i="8"/>
  <c r="D29" i="8"/>
  <c r="D28" i="8"/>
  <c r="D27" i="8"/>
  <c r="D26" i="8"/>
  <c r="D25" i="8"/>
  <c r="D24" i="8"/>
  <c r="D23" i="8"/>
  <c r="D22" i="8"/>
  <c r="D21" i="8"/>
  <c r="D20" i="8"/>
  <c r="D19" i="8"/>
  <c r="D18" i="8"/>
  <c r="D17" i="8"/>
  <c r="D16" i="8"/>
  <c r="D15" i="8"/>
  <c r="D14" i="8"/>
  <c r="D13" i="8"/>
  <c r="D12" i="8"/>
  <c r="D11" i="8"/>
  <c r="D10" i="8"/>
  <c r="D9" i="8"/>
  <c r="D8" i="8"/>
  <c r="D7" i="8"/>
  <c r="D6" i="8"/>
  <c r="D5" i="8"/>
  <c r="D4" i="8"/>
  <c r="P32" i="10"/>
  <c r="P37" i="10" s="1"/>
  <c r="Q31" i="10"/>
  <c r="O31" i="10"/>
  <c r="M31" i="10"/>
  <c r="P29" i="10"/>
  <c r="M29" i="10"/>
  <c r="Q28" i="10"/>
  <c r="Q38" i="10" s="1"/>
  <c r="P28" i="10"/>
  <c r="P38" i="10" s="1"/>
  <c r="M27" i="10"/>
  <c r="Q26" i="10"/>
  <c r="P26" i="10"/>
  <c r="P24" i="10"/>
  <c r="P39" i="10" s="1"/>
  <c r="O24" i="10"/>
  <c r="O39" i="10" s="1"/>
  <c r="M23" i="10"/>
  <c r="Q22" i="10"/>
  <c r="Q21" i="10"/>
  <c r="Q44" i="10" s="1"/>
  <c r="Q20" i="10"/>
  <c r="M20" i="10"/>
  <c r="Q19" i="10"/>
  <c r="P19" i="10"/>
  <c r="Q18" i="10"/>
  <c r="M17" i="10"/>
  <c r="M46" i="10" s="1"/>
  <c r="Q16" i="10"/>
  <c r="Q36" i="10" s="1"/>
  <c r="P16" i="10"/>
  <c r="P36" i="10" s="1"/>
  <c r="M15" i="10"/>
  <c r="M35" i="10" s="1"/>
  <c r="Q14" i="10"/>
  <c r="P13" i="10"/>
  <c r="P41" i="10" s="1"/>
  <c r="M13" i="10"/>
  <c r="M41" i="10" s="1"/>
  <c r="R31" i="10"/>
  <c r="R29" i="10"/>
  <c r="R28" i="10"/>
  <c r="R27" i="10"/>
  <c r="R26" i="10"/>
  <c r="R24" i="10"/>
  <c r="R23" i="10"/>
  <c r="R22" i="10"/>
  <c r="R19" i="10"/>
  <c r="R17" i="10"/>
  <c r="R14" i="10"/>
  <c r="R11" i="10"/>
  <c r="R5" i="10" l="1"/>
  <c r="O28" i="10"/>
  <c r="O38" i="10" s="1"/>
  <c r="R15" i="10"/>
  <c r="M30" i="10"/>
  <c r="M45" i="10" s="1"/>
  <c r="Q24" i="10"/>
  <c r="Q39" i="10" s="1"/>
  <c r="P6" i="10"/>
  <c r="P42" i="10" s="1"/>
  <c r="O17" i="10"/>
  <c r="O46" i="10" s="1"/>
  <c r="D60" i="8"/>
  <c r="D74" i="8"/>
  <c r="J18" i="8"/>
  <c r="Q11" i="10"/>
  <c r="Q71" i="10" s="1"/>
  <c r="G57" i="10"/>
  <c r="G71" i="10"/>
  <c r="G63" i="10"/>
  <c r="G77" i="10"/>
  <c r="G56" i="10"/>
  <c r="G70" i="10"/>
  <c r="G72" i="10"/>
  <c r="G58" i="10"/>
  <c r="D67" i="10"/>
  <c r="R67" i="10" s="1"/>
  <c r="D53" i="10"/>
  <c r="R53" i="10" s="1"/>
  <c r="G69" i="10"/>
  <c r="G55" i="10"/>
  <c r="D52" i="10"/>
  <c r="R52" i="10" s="1"/>
  <c r="D66" i="10"/>
  <c r="D75" i="8"/>
  <c r="D61" i="8"/>
  <c r="J9" i="8"/>
  <c r="J4" i="8"/>
  <c r="J40" i="8" s="1"/>
  <c r="D40" i="8"/>
  <c r="J24" i="8"/>
  <c r="J39" i="8" s="1"/>
  <c r="D39" i="8"/>
  <c r="M8" i="10"/>
  <c r="M49" i="10" s="1"/>
  <c r="C49" i="10"/>
  <c r="Q13" i="10"/>
  <c r="Q41" i="10" s="1"/>
  <c r="G41" i="10"/>
  <c r="E67" i="10"/>
  <c r="E53" i="10"/>
  <c r="E52" i="10"/>
  <c r="E66" i="10"/>
  <c r="J10" i="8"/>
  <c r="J43" i="8" s="1"/>
  <c r="D43" i="8"/>
  <c r="J12" i="8"/>
  <c r="J48" i="8" s="1"/>
  <c r="D48" i="8"/>
  <c r="J16" i="8"/>
  <c r="J36" i="8" s="1"/>
  <c r="D36" i="8"/>
  <c r="D44" i="8"/>
  <c r="J21" i="8"/>
  <c r="J44" i="8" s="1"/>
  <c r="J25" i="8"/>
  <c r="J51" i="8" s="1"/>
  <c r="D51" i="8"/>
  <c r="R8" i="10"/>
  <c r="D49" i="10"/>
  <c r="R49" i="10" s="1"/>
  <c r="C75" i="10"/>
  <c r="C61" i="10"/>
  <c r="F67" i="10"/>
  <c r="F53" i="10"/>
  <c r="F52" i="10"/>
  <c r="F66" i="10"/>
  <c r="R65" i="13"/>
  <c r="N65" i="13"/>
  <c r="J19" i="8"/>
  <c r="D56" i="8"/>
  <c r="D70" i="8"/>
  <c r="J26" i="8"/>
  <c r="D55" i="8"/>
  <c r="D69" i="8"/>
  <c r="O8" i="10"/>
  <c r="O49" i="10" s="1"/>
  <c r="E49" i="10"/>
  <c r="D75" i="10"/>
  <c r="R75" i="10" s="1"/>
  <c r="D61" i="10"/>
  <c r="R61" i="10" s="1"/>
  <c r="M12" i="10"/>
  <c r="M48" i="10" s="1"/>
  <c r="C48" i="10"/>
  <c r="O15" i="10"/>
  <c r="O35" i="10" s="1"/>
  <c r="E35" i="10"/>
  <c r="M16" i="10"/>
  <c r="M36" i="10" s="1"/>
  <c r="C36" i="10"/>
  <c r="P17" i="10"/>
  <c r="P46" i="10" s="1"/>
  <c r="F46" i="10"/>
  <c r="G53" i="10"/>
  <c r="G67" i="10"/>
  <c r="M25" i="10"/>
  <c r="M51" i="10" s="1"/>
  <c r="C51" i="10"/>
  <c r="Q27" i="10"/>
  <c r="Q52" i="10" s="1"/>
  <c r="G66" i="10"/>
  <c r="G52" i="10"/>
  <c r="R30" i="10"/>
  <c r="D45" i="10"/>
  <c r="R45" i="10" s="1"/>
  <c r="M5" i="10"/>
  <c r="M34" i="10" s="1"/>
  <c r="C34" i="10"/>
  <c r="D71" i="8"/>
  <c r="D57" i="8"/>
  <c r="J11" i="8"/>
  <c r="J14" i="8"/>
  <c r="D63" i="8"/>
  <c r="D77" i="8"/>
  <c r="J22" i="8"/>
  <c r="D58" i="8"/>
  <c r="D72" i="8"/>
  <c r="J28" i="8"/>
  <c r="J38" i="8" s="1"/>
  <c r="D38" i="8"/>
  <c r="Q6" i="10"/>
  <c r="Q42" i="10" s="1"/>
  <c r="G42" i="10"/>
  <c r="M10" i="10"/>
  <c r="M43" i="10" s="1"/>
  <c r="C43" i="10"/>
  <c r="J8" i="8"/>
  <c r="J49" i="8" s="1"/>
  <c r="D49" i="8"/>
  <c r="J15" i="8"/>
  <c r="J35" i="8" s="1"/>
  <c r="D35" i="8"/>
  <c r="M7" i="10"/>
  <c r="M68" i="10" s="1"/>
  <c r="C68" i="10"/>
  <c r="C54" i="10"/>
  <c r="E61" i="10"/>
  <c r="E75" i="10"/>
  <c r="R48" i="10"/>
  <c r="R16" i="10"/>
  <c r="D36" i="10"/>
  <c r="R36" i="10" s="1"/>
  <c r="R51" i="10"/>
  <c r="J5" i="8"/>
  <c r="J34" i="8" s="1"/>
  <c r="D34" i="8"/>
  <c r="J29" i="8"/>
  <c r="D64" i="8"/>
  <c r="D78" i="8"/>
  <c r="D54" i="10"/>
  <c r="R54" i="10" s="1"/>
  <c r="D68" i="10"/>
  <c r="R68" i="10" s="1"/>
  <c r="Q8" i="10"/>
  <c r="Q49" i="10" s="1"/>
  <c r="G49" i="10"/>
  <c r="F61" i="10"/>
  <c r="F75" i="10"/>
  <c r="O10" i="10"/>
  <c r="O43" i="10" s="1"/>
  <c r="E43" i="10"/>
  <c r="E47" i="10"/>
  <c r="O47" i="10" s="1"/>
  <c r="C60" i="10"/>
  <c r="C74" i="10"/>
  <c r="O21" i="10"/>
  <c r="O44" i="10" s="1"/>
  <c r="E44" i="10"/>
  <c r="G61" i="10"/>
  <c r="G75" i="10"/>
  <c r="P12" i="10"/>
  <c r="P48" i="10" s="1"/>
  <c r="F48" i="10"/>
  <c r="F47" i="10" s="1"/>
  <c r="P47" i="10" s="1"/>
  <c r="D74" i="10"/>
  <c r="R74" i="10" s="1"/>
  <c r="D60" i="10"/>
  <c r="R60" i="10" s="1"/>
  <c r="P21" i="10"/>
  <c r="P44" i="10" s="1"/>
  <c r="F44" i="10"/>
  <c r="P25" i="10"/>
  <c r="P51" i="10" s="1"/>
  <c r="F51" i="10"/>
  <c r="C64" i="10"/>
  <c r="C78" i="10"/>
  <c r="Q30" i="10"/>
  <c r="Q45" i="10" s="1"/>
  <c r="G45" i="10"/>
  <c r="O32" i="10"/>
  <c r="O37" i="10" s="1"/>
  <c r="E37" i="10"/>
  <c r="J6" i="8"/>
  <c r="J42" i="8" s="1"/>
  <c r="D42" i="8"/>
  <c r="J7" i="8"/>
  <c r="D68" i="8"/>
  <c r="D54" i="8"/>
  <c r="J32" i="8"/>
  <c r="J37" i="8" s="1"/>
  <c r="D37" i="8"/>
  <c r="R34" i="10"/>
  <c r="F54" i="10"/>
  <c r="F68" i="10"/>
  <c r="G47" i="10"/>
  <c r="Q47" i="10" s="1"/>
  <c r="O18" i="10"/>
  <c r="E74" i="10"/>
  <c r="E60" i="10"/>
  <c r="C62" i="10"/>
  <c r="C76" i="10"/>
  <c r="Q25" i="10"/>
  <c r="Q51" i="10" s="1"/>
  <c r="G51" i="10"/>
  <c r="D64" i="10"/>
  <c r="R64" i="10" s="1"/>
  <c r="D78" i="10"/>
  <c r="R78" i="10" s="1"/>
  <c r="C59" i="10"/>
  <c r="C73" i="10"/>
  <c r="J27" i="8"/>
  <c r="D66" i="8"/>
  <c r="D52" i="8"/>
  <c r="J13" i="8"/>
  <c r="J41" i="8" s="1"/>
  <c r="D41" i="8"/>
  <c r="P4" i="10"/>
  <c r="P40" i="10" s="1"/>
  <c r="F40" i="10"/>
  <c r="O5" i="10"/>
  <c r="O34" i="10" s="1"/>
  <c r="E34" i="10"/>
  <c r="Q7" i="10"/>
  <c r="Q68" i="10" s="1"/>
  <c r="G54" i="10"/>
  <c r="G68" i="10"/>
  <c r="M11" i="10"/>
  <c r="C57" i="10"/>
  <c r="C71" i="10"/>
  <c r="M14" i="10"/>
  <c r="M63" i="10" s="1"/>
  <c r="C77" i="10"/>
  <c r="C63" i="10"/>
  <c r="F74" i="10"/>
  <c r="F60" i="10"/>
  <c r="M19" i="10"/>
  <c r="M56" i="10" s="1"/>
  <c r="C56" i="10"/>
  <c r="C70" i="10"/>
  <c r="D76" i="10"/>
  <c r="R76" i="10" s="1"/>
  <c r="D62" i="10"/>
  <c r="R62" i="10" s="1"/>
  <c r="C72" i="10"/>
  <c r="C58" i="10"/>
  <c r="M26" i="10"/>
  <c r="M69" i="10" s="1"/>
  <c r="C69" i="10"/>
  <c r="C55" i="10"/>
  <c r="M28" i="10"/>
  <c r="M38" i="10" s="1"/>
  <c r="C38" i="10"/>
  <c r="O29" i="10"/>
  <c r="O64" i="10" s="1"/>
  <c r="E78" i="10"/>
  <c r="E64" i="10"/>
  <c r="D59" i="10"/>
  <c r="R59" i="10" s="1"/>
  <c r="D73" i="10"/>
  <c r="R73" i="10" s="1"/>
  <c r="R50" i="13"/>
  <c r="N50" i="13"/>
  <c r="J30" i="8"/>
  <c r="J45" i="8" s="1"/>
  <c r="D45" i="8"/>
  <c r="Q4" i="10"/>
  <c r="Q40" i="10" s="1"/>
  <c r="G40" i="10"/>
  <c r="P5" i="10"/>
  <c r="P34" i="10" s="1"/>
  <c r="F34" i="10"/>
  <c r="D57" i="10"/>
  <c r="R57" i="10" s="1"/>
  <c r="D71" i="10"/>
  <c r="R71" i="10" s="1"/>
  <c r="D77" i="10"/>
  <c r="R77" i="10" s="1"/>
  <c r="D63" i="10"/>
  <c r="R63" i="10" s="1"/>
  <c r="G74" i="10"/>
  <c r="G60" i="10"/>
  <c r="D70" i="10"/>
  <c r="R70" i="10" s="1"/>
  <c r="D56" i="10"/>
  <c r="R56" i="10" s="1"/>
  <c r="E62" i="10"/>
  <c r="E76" i="10"/>
  <c r="D72" i="10"/>
  <c r="R72" i="10" s="1"/>
  <c r="D58" i="10"/>
  <c r="R58" i="10" s="1"/>
  <c r="D69" i="10"/>
  <c r="R69" i="10" s="1"/>
  <c r="D55" i="10"/>
  <c r="R55" i="10" s="1"/>
  <c r="F78" i="10"/>
  <c r="F64" i="10"/>
  <c r="E59" i="10"/>
  <c r="E73" i="10"/>
  <c r="J20" i="8"/>
  <c r="D76" i="8"/>
  <c r="D62" i="8"/>
  <c r="Q5" i="10"/>
  <c r="Q34" i="10" s="1"/>
  <c r="G34" i="10"/>
  <c r="O11" i="10"/>
  <c r="O57" i="10" s="1"/>
  <c r="E57" i="10"/>
  <c r="E71" i="10"/>
  <c r="O19" i="10"/>
  <c r="E70" i="10"/>
  <c r="E56" i="10"/>
  <c r="P20" i="10"/>
  <c r="P62" i="10" s="1"/>
  <c r="F76" i="10"/>
  <c r="F62" i="10"/>
  <c r="O22" i="10"/>
  <c r="O72" i="10" s="1"/>
  <c r="E72" i="10"/>
  <c r="E58" i="10"/>
  <c r="M24" i="10"/>
  <c r="M39" i="10" s="1"/>
  <c r="C39" i="10"/>
  <c r="O26" i="10"/>
  <c r="E55" i="10"/>
  <c r="E69" i="10"/>
  <c r="G64" i="10"/>
  <c r="G78" i="10"/>
  <c r="P31" i="10"/>
  <c r="P73" i="10" s="1"/>
  <c r="F59" i="10"/>
  <c r="F73" i="10"/>
  <c r="R65" i="16"/>
  <c r="N65" i="16"/>
  <c r="R50" i="16"/>
  <c r="N50" i="16"/>
  <c r="J23" i="8"/>
  <c r="D67" i="8"/>
  <c r="D53" i="8"/>
  <c r="E54" i="10"/>
  <c r="E68" i="10"/>
  <c r="J31" i="8"/>
  <c r="D73" i="8"/>
  <c r="D59" i="8"/>
  <c r="R13" i="10"/>
  <c r="D41" i="10"/>
  <c r="R41" i="10" s="1"/>
  <c r="E77" i="10"/>
  <c r="E63" i="10"/>
  <c r="J17" i="8"/>
  <c r="J46" i="8" s="1"/>
  <c r="D46" i="8"/>
  <c r="M6" i="10"/>
  <c r="M42" i="10" s="1"/>
  <c r="C42" i="10"/>
  <c r="P11" i="10"/>
  <c r="P71" i="10" s="1"/>
  <c r="F57" i="10"/>
  <c r="F71" i="10"/>
  <c r="P14" i="10"/>
  <c r="P77" i="10" s="1"/>
  <c r="F63" i="10"/>
  <c r="F77" i="10"/>
  <c r="F56" i="10"/>
  <c r="F70" i="10"/>
  <c r="G76" i="10"/>
  <c r="G62" i="10"/>
  <c r="F58" i="10"/>
  <c r="F72" i="10"/>
  <c r="C53" i="10"/>
  <c r="C67" i="10"/>
  <c r="F69" i="10"/>
  <c r="F55" i="10"/>
  <c r="C66" i="10"/>
  <c r="C52" i="10"/>
  <c r="G59" i="10"/>
  <c r="G73" i="10"/>
  <c r="O52" i="10"/>
  <c r="O66" i="10"/>
  <c r="M76" i="10"/>
  <c r="M62" i="10"/>
  <c r="P52" i="10"/>
  <c r="P66" i="10"/>
  <c r="Q76" i="10"/>
  <c r="Q62" i="10"/>
  <c r="M54" i="10"/>
  <c r="M53" i="10"/>
  <c r="M67" i="10"/>
  <c r="P53" i="10"/>
  <c r="P67" i="10"/>
  <c r="Q74" i="10"/>
  <c r="Q60" i="10"/>
  <c r="O60" i="10"/>
  <c r="O74" i="10"/>
  <c r="M57" i="10"/>
  <c r="M71" i="10"/>
  <c r="M77" i="10"/>
  <c r="M70" i="10"/>
  <c r="O78" i="10"/>
  <c r="P69" i="10"/>
  <c r="P55" i="10"/>
  <c r="Q69" i="10"/>
  <c r="Q55" i="10"/>
  <c r="M78" i="10"/>
  <c r="M64" i="10"/>
  <c r="M73" i="10"/>
  <c r="M59" i="10"/>
  <c r="O62" i="10"/>
  <c r="O76" i="10"/>
  <c r="O70" i="10"/>
  <c r="O56" i="10"/>
  <c r="O69" i="10"/>
  <c r="O55" i="10"/>
  <c r="Q77" i="10"/>
  <c r="Q63" i="10"/>
  <c r="P70" i="10"/>
  <c r="P56" i="10"/>
  <c r="P64" i="10"/>
  <c r="P78" i="10"/>
  <c r="O73" i="10"/>
  <c r="O59" i="10"/>
  <c r="O67" i="10"/>
  <c r="O53" i="10"/>
  <c r="P57" i="10"/>
  <c r="Q70" i="10"/>
  <c r="Q56" i="10"/>
  <c r="P58" i="10"/>
  <c r="P72" i="10"/>
  <c r="Q64" i="10"/>
  <c r="Q78" i="10"/>
  <c r="Q59" i="10"/>
  <c r="Q73" i="10"/>
  <c r="Q72" i="10"/>
  <c r="Q58" i="10"/>
  <c r="M66" i="10"/>
  <c r="M52" i="10"/>
  <c r="C71" i="8"/>
  <c r="E71" i="8" s="1"/>
  <c r="L71" i="8" s="1"/>
  <c r="I11" i="8"/>
  <c r="C57" i="8"/>
  <c r="E57" i="8" s="1"/>
  <c r="L57" i="8" s="1"/>
  <c r="I5" i="8"/>
  <c r="I34" i="8" s="1"/>
  <c r="C34" i="8"/>
  <c r="I15" i="8"/>
  <c r="I35" i="8" s="1"/>
  <c r="C35" i="8"/>
  <c r="P10" i="10"/>
  <c r="P43" i="10" s="1"/>
  <c r="R20" i="10"/>
  <c r="M22" i="10"/>
  <c r="Q32" i="10"/>
  <c r="Q37" i="10" s="1"/>
  <c r="Q9" i="10"/>
  <c r="J48" i="17"/>
  <c r="G47" i="17"/>
  <c r="J47" i="17" s="1"/>
  <c r="O14" i="10"/>
  <c r="G65" i="17"/>
  <c r="J65" i="17" s="1"/>
  <c r="J51" i="17"/>
  <c r="G50" i="17"/>
  <c r="J50" i="17" s="1"/>
  <c r="J34" i="17"/>
  <c r="G33" i="17"/>
  <c r="J33" i="17" s="1"/>
  <c r="Q17" i="10"/>
  <c r="Q46" i="10" s="1"/>
  <c r="R25" i="10"/>
  <c r="P8" i="10"/>
  <c r="P49" i="10" s="1"/>
  <c r="O30" i="10"/>
  <c r="O45" i="10" s="1"/>
  <c r="R21" i="10"/>
  <c r="O9" i="10"/>
  <c r="P15" i="10"/>
  <c r="P35" i="10" s="1"/>
  <c r="R12" i="10"/>
  <c r="M32" i="10"/>
  <c r="M37" i="10" s="1"/>
  <c r="R10" i="10"/>
  <c r="M18" i="10"/>
  <c r="R32" i="10"/>
  <c r="O25" i="10"/>
  <c r="O51" i="10" s="1"/>
  <c r="O12" i="10"/>
  <c r="O48" i="10" s="1"/>
  <c r="O16" i="10"/>
  <c r="O36" i="10" s="1"/>
  <c r="R7" i="10"/>
  <c r="Q15" i="10"/>
  <c r="Q35" i="10" s="1"/>
  <c r="R18" i="10"/>
  <c r="O7" i="10"/>
  <c r="Q12" i="10"/>
  <c r="Q48" i="10" s="1"/>
  <c r="R4" i="10"/>
  <c r="Q10" i="10"/>
  <c r="Q43" i="10" s="1"/>
  <c r="O13" i="10"/>
  <c r="O41" i="10" s="1"/>
  <c r="R6" i="10"/>
  <c r="R9" i="10"/>
  <c r="O6" i="10"/>
  <c r="O42" i="10" s="1"/>
  <c r="O4" i="10"/>
  <c r="O40" i="10" s="1"/>
  <c r="P9" i="10"/>
  <c r="M4" i="10"/>
  <c r="M40" i="10" s="1"/>
  <c r="P7" i="10"/>
  <c r="C8" i="8"/>
  <c r="C6" i="8"/>
  <c r="C7" i="8"/>
  <c r="C21" i="8"/>
  <c r="C24" i="8"/>
  <c r="C18" i="8"/>
  <c r="C17" i="8"/>
  <c r="C31" i="8"/>
  <c r="C20" i="8"/>
  <c r="C30" i="8"/>
  <c r="C13" i="8"/>
  <c r="C32" i="8"/>
  <c r="C27" i="8"/>
  <c r="C23" i="8"/>
  <c r="C29" i="8"/>
  <c r="C28" i="8"/>
  <c r="C26" i="8"/>
  <c r="C22" i="8"/>
  <c r="C19" i="8"/>
  <c r="C14" i="8"/>
  <c r="C9" i="8"/>
  <c r="C4" i="8"/>
  <c r="C25" i="8"/>
  <c r="C12" i="8"/>
  <c r="C16" i="8"/>
  <c r="C10" i="8"/>
  <c r="Q23" i="10"/>
  <c r="M9" i="10"/>
  <c r="M21" i="10"/>
  <c r="M44" i="10" s="1"/>
  <c r="P30" i="10"/>
  <c r="P45" i="10" s="1"/>
  <c r="P18" i="10"/>
  <c r="G32" i="5"/>
  <c r="F32" i="5"/>
  <c r="E32" i="5"/>
  <c r="D32" i="5"/>
  <c r="C32" i="5"/>
  <c r="M32" i="5" s="1"/>
  <c r="M37" i="5" s="1"/>
  <c r="G31" i="5"/>
  <c r="G73" i="5" s="1"/>
  <c r="F31" i="5"/>
  <c r="F73" i="5" s="1"/>
  <c r="E31" i="5"/>
  <c r="E73" i="5" s="1"/>
  <c r="D31" i="5"/>
  <c r="D73" i="5" s="1"/>
  <c r="R73" i="5" s="1"/>
  <c r="C31" i="5"/>
  <c r="G30" i="5"/>
  <c r="F30" i="5"/>
  <c r="E30" i="5"/>
  <c r="D30" i="5"/>
  <c r="C30" i="5"/>
  <c r="M30" i="5" s="1"/>
  <c r="M45" i="5" s="1"/>
  <c r="G29" i="5"/>
  <c r="G78" i="5" s="1"/>
  <c r="F29" i="5"/>
  <c r="F78" i="5" s="1"/>
  <c r="E29" i="5"/>
  <c r="E78" i="5" s="1"/>
  <c r="D29" i="5"/>
  <c r="D78" i="5" s="1"/>
  <c r="R78" i="5" s="1"/>
  <c r="C29" i="5"/>
  <c r="G28" i="5"/>
  <c r="F28" i="5"/>
  <c r="E28" i="5"/>
  <c r="D28" i="5"/>
  <c r="C28" i="5"/>
  <c r="M28" i="5" s="1"/>
  <c r="M38" i="5" s="1"/>
  <c r="G27" i="5"/>
  <c r="G66" i="5" s="1"/>
  <c r="F27" i="5"/>
  <c r="F66" i="5" s="1"/>
  <c r="E27" i="5"/>
  <c r="E66" i="5" s="1"/>
  <c r="D27" i="5"/>
  <c r="D66" i="5" s="1"/>
  <c r="C27" i="5"/>
  <c r="G26" i="5"/>
  <c r="G69" i="5" s="1"/>
  <c r="F26" i="5"/>
  <c r="F69" i="5" s="1"/>
  <c r="E26" i="5"/>
  <c r="E69" i="5" s="1"/>
  <c r="D26" i="5"/>
  <c r="D69" i="5" s="1"/>
  <c r="R69" i="5" s="1"/>
  <c r="C26" i="5"/>
  <c r="G25" i="5"/>
  <c r="F25" i="5"/>
  <c r="E25" i="5"/>
  <c r="D25" i="5"/>
  <c r="C25" i="5"/>
  <c r="M25" i="5" s="1"/>
  <c r="M51" i="5" s="1"/>
  <c r="G24" i="5"/>
  <c r="F24" i="5"/>
  <c r="E24" i="5"/>
  <c r="D24" i="5"/>
  <c r="C24" i="5"/>
  <c r="M24" i="5" s="1"/>
  <c r="M39" i="5" s="1"/>
  <c r="G23" i="5"/>
  <c r="G67" i="5" s="1"/>
  <c r="F23" i="5"/>
  <c r="F67" i="5" s="1"/>
  <c r="E23" i="5"/>
  <c r="E67" i="5" s="1"/>
  <c r="D23" i="5"/>
  <c r="D67" i="5" s="1"/>
  <c r="R67" i="5" s="1"/>
  <c r="C23" i="5"/>
  <c r="G22" i="5"/>
  <c r="G72" i="5" s="1"/>
  <c r="F22" i="5"/>
  <c r="F72" i="5" s="1"/>
  <c r="E22" i="5"/>
  <c r="E72" i="5" s="1"/>
  <c r="D22" i="5"/>
  <c r="D72" i="5" s="1"/>
  <c r="R72" i="5" s="1"/>
  <c r="C22" i="5"/>
  <c r="G21" i="5"/>
  <c r="F21" i="5"/>
  <c r="E21" i="5"/>
  <c r="D21" i="5"/>
  <c r="C21" i="5"/>
  <c r="M21" i="5" s="1"/>
  <c r="M44" i="5" s="1"/>
  <c r="G20" i="5"/>
  <c r="G76" i="5" s="1"/>
  <c r="F20" i="5"/>
  <c r="F76" i="5" s="1"/>
  <c r="E20" i="5"/>
  <c r="E76" i="5" s="1"/>
  <c r="D20" i="5"/>
  <c r="D76" i="5" s="1"/>
  <c r="R76" i="5" s="1"/>
  <c r="C20" i="5"/>
  <c r="G19" i="5"/>
  <c r="G70" i="5" s="1"/>
  <c r="F19" i="5"/>
  <c r="F70" i="5" s="1"/>
  <c r="E19" i="5"/>
  <c r="E70" i="5" s="1"/>
  <c r="D19" i="5"/>
  <c r="D70" i="5" s="1"/>
  <c r="R70" i="5" s="1"/>
  <c r="C19" i="5"/>
  <c r="G18" i="5"/>
  <c r="G74" i="5" s="1"/>
  <c r="F18" i="5"/>
  <c r="F74" i="5" s="1"/>
  <c r="E18" i="5"/>
  <c r="E74" i="5" s="1"/>
  <c r="D18" i="5"/>
  <c r="D74" i="5" s="1"/>
  <c r="R74" i="5" s="1"/>
  <c r="C18" i="5"/>
  <c r="G17" i="5"/>
  <c r="F17" i="5"/>
  <c r="E17" i="5"/>
  <c r="D17" i="5"/>
  <c r="C17" i="5"/>
  <c r="M17" i="5" s="1"/>
  <c r="M46" i="5" s="1"/>
  <c r="G16" i="5"/>
  <c r="F16" i="5"/>
  <c r="E16" i="5"/>
  <c r="D16" i="5"/>
  <c r="C16" i="5"/>
  <c r="M16" i="5" s="1"/>
  <c r="M36" i="5" s="1"/>
  <c r="G15" i="5"/>
  <c r="F15" i="5"/>
  <c r="E15" i="5"/>
  <c r="D15" i="5"/>
  <c r="C15" i="5"/>
  <c r="M15" i="5" s="1"/>
  <c r="M35" i="5" s="1"/>
  <c r="G14" i="5"/>
  <c r="G77" i="5" s="1"/>
  <c r="F14" i="5"/>
  <c r="F77" i="5" s="1"/>
  <c r="E14" i="5"/>
  <c r="E77" i="5" s="1"/>
  <c r="D14" i="5"/>
  <c r="D77" i="5" s="1"/>
  <c r="R77" i="5" s="1"/>
  <c r="C14" i="5"/>
  <c r="G13" i="5"/>
  <c r="F13" i="5"/>
  <c r="E13" i="5"/>
  <c r="D13" i="5"/>
  <c r="C13" i="5"/>
  <c r="M13" i="5" s="1"/>
  <c r="M41" i="5" s="1"/>
  <c r="G12" i="5"/>
  <c r="F12" i="5"/>
  <c r="E12" i="5"/>
  <c r="D12" i="5"/>
  <c r="C12" i="5"/>
  <c r="M12" i="5" s="1"/>
  <c r="M48" i="5" s="1"/>
  <c r="G11" i="5"/>
  <c r="G71" i="5" s="1"/>
  <c r="F11" i="5"/>
  <c r="F71" i="5" s="1"/>
  <c r="E11" i="5"/>
  <c r="E71" i="5" s="1"/>
  <c r="D11" i="5"/>
  <c r="D71" i="5" s="1"/>
  <c r="R71" i="5" s="1"/>
  <c r="C11" i="5"/>
  <c r="G10" i="5"/>
  <c r="F10" i="5"/>
  <c r="E10" i="5"/>
  <c r="D10" i="5"/>
  <c r="C10" i="5"/>
  <c r="M10" i="5" s="1"/>
  <c r="M43" i="5" s="1"/>
  <c r="G9" i="5"/>
  <c r="G75" i="5" s="1"/>
  <c r="F9" i="5"/>
  <c r="F75" i="5" s="1"/>
  <c r="E9" i="5"/>
  <c r="E75" i="5" s="1"/>
  <c r="D9" i="5"/>
  <c r="D75" i="5" s="1"/>
  <c r="R75" i="5" s="1"/>
  <c r="C9" i="5"/>
  <c r="G8" i="5"/>
  <c r="F8" i="5"/>
  <c r="E8" i="5"/>
  <c r="D8" i="5"/>
  <c r="C8" i="5"/>
  <c r="M8" i="5" s="1"/>
  <c r="M49" i="5" s="1"/>
  <c r="G7" i="5"/>
  <c r="G68" i="5" s="1"/>
  <c r="F7" i="5"/>
  <c r="F68" i="5" s="1"/>
  <c r="E7" i="5"/>
  <c r="E68" i="5" s="1"/>
  <c r="D7" i="5"/>
  <c r="D68" i="5" s="1"/>
  <c r="R68" i="5" s="1"/>
  <c r="C7" i="5"/>
  <c r="G6" i="5"/>
  <c r="F6" i="5"/>
  <c r="E6" i="5"/>
  <c r="D6" i="5"/>
  <c r="C6" i="5"/>
  <c r="M6" i="5" s="1"/>
  <c r="M42" i="5" s="1"/>
  <c r="G5" i="5"/>
  <c r="F5" i="5"/>
  <c r="E5" i="5"/>
  <c r="D5" i="5"/>
  <c r="C5" i="5"/>
  <c r="M5" i="5" s="1"/>
  <c r="M34" i="5" s="1"/>
  <c r="G4" i="5"/>
  <c r="F4" i="5"/>
  <c r="E4" i="5"/>
  <c r="D4" i="5"/>
  <c r="C4" i="5"/>
  <c r="O71" i="10" l="1"/>
  <c r="Q54" i="10"/>
  <c r="M55" i="10"/>
  <c r="Q57" i="10"/>
  <c r="C65" i="10"/>
  <c r="M65" i="10" s="1"/>
  <c r="Q66" i="10"/>
  <c r="P59" i="10"/>
  <c r="P76" i="10"/>
  <c r="G33" i="10"/>
  <c r="Q33" i="10" s="1"/>
  <c r="P63" i="10"/>
  <c r="E50" i="10"/>
  <c r="O50" i="10" s="1"/>
  <c r="E35" i="8"/>
  <c r="L35" i="8" s="1"/>
  <c r="C33" i="10"/>
  <c r="M33" i="10" s="1"/>
  <c r="F33" i="10"/>
  <c r="P33" i="10" s="1"/>
  <c r="E33" i="10"/>
  <c r="O33" i="10" s="1"/>
  <c r="D33" i="10"/>
  <c r="D47" i="10"/>
  <c r="G50" i="10"/>
  <c r="Q50" i="10" s="1"/>
  <c r="F50" i="10"/>
  <c r="P50" i="10" s="1"/>
  <c r="J69" i="8"/>
  <c r="J55" i="8"/>
  <c r="E65" i="10"/>
  <c r="O65" i="10" s="1"/>
  <c r="J61" i="8"/>
  <c r="J75" i="8"/>
  <c r="J73" i="8"/>
  <c r="J59" i="8"/>
  <c r="J62" i="8"/>
  <c r="J76" i="8"/>
  <c r="J64" i="8"/>
  <c r="J78" i="8"/>
  <c r="D50" i="8"/>
  <c r="J50" i="8" s="1"/>
  <c r="J54" i="8"/>
  <c r="J68" i="8"/>
  <c r="D33" i="8"/>
  <c r="J33" i="8" s="1"/>
  <c r="J70" i="8"/>
  <c r="J56" i="8"/>
  <c r="R66" i="10"/>
  <c r="D65" i="10"/>
  <c r="D65" i="8"/>
  <c r="J65" i="8" s="1"/>
  <c r="J72" i="8"/>
  <c r="J58" i="8"/>
  <c r="G65" i="10"/>
  <c r="Q65" i="10" s="1"/>
  <c r="J52" i="8"/>
  <c r="J66" i="8"/>
  <c r="D50" i="10"/>
  <c r="O58" i="10"/>
  <c r="C50" i="10"/>
  <c r="M50" i="10" s="1"/>
  <c r="F65" i="10"/>
  <c r="P65" i="10" s="1"/>
  <c r="C47" i="10"/>
  <c r="M47" i="10" s="1"/>
  <c r="J74" i="8"/>
  <c r="J60" i="8"/>
  <c r="J53" i="8"/>
  <c r="J67" i="8"/>
  <c r="J63" i="8"/>
  <c r="J77" i="8"/>
  <c r="J71" i="8"/>
  <c r="J57" i="8"/>
  <c r="D47" i="8"/>
  <c r="J47" i="8" s="1"/>
  <c r="P54" i="10"/>
  <c r="P68" i="10"/>
  <c r="O61" i="10"/>
  <c r="O75" i="10"/>
  <c r="P61" i="10"/>
  <c r="P75" i="10"/>
  <c r="Q75" i="10"/>
  <c r="Q61" i="10"/>
  <c r="P74" i="10"/>
  <c r="P60" i="10"/>
  <c r="M72" i="10"/>
  <c r="M58" i="10"/>
  <c r="M74" i="10"/>
  <c r="M60" i="10"/>
  <c r="M75" i="10"/>
  <c r="M61" i="10"/>
  <c r="Q53" i="10"/>
  <c r="Q67" i="10"/>
  <c r="O68" i="10"/>
  <c r="O54" i="10"/>
  <c r="O77" i="10"/>
  <c r="O63" i="10"/>
  <c r="I14" i="8"/>
  <c r="C63" i="8"/>
  <c r="E63" i="8" s="1"/>
  <c r="L63" i="8" s="1"/>
  <c r="C77" i="8"/>
  <c r="E77" i="8" s="1"/>
  <c r="L77" i="8" s="1"/>
  <c r="I19" i="8"/>
  <c r="C70" i="8"/>
  <c r="C56" i="8"/>
  <c r="E56" i="8" s="1"/>
  <c r="L56" i="8" s="1"/>
  <c r="I8" i="8"/>
  <c r="I49" i="8" s="1"/>
  <c r="C49" i="8"/>
  <c r="E49" i="8" s="1"/>
  <c r="L49" i="8" s="1"/>
  <c r="I30" i="8"/>
  <c r="I45" i="8" s="1"/>
  <c r="C45" i="8"/>
  <c r="E45" i="8" s="1"/>
  <c r="L45" i="8" s="1"/>
  <c r="C42" i="8"/>
  <c r="E42" i="8" s="1"/>
  <c r="L42" i="8" s="1"/>
  <c r="I6" i="8"/>
  <c r="I42" i="8" s="1"/>
  <c r="I22" i="8"/>
  <c r="C72" i="8"/>
  <c r="E72" i="8" s="1"/>
  <c r="L72" i="8" s="1"/>
  <c r="C58" i="8"/>
  <c r="E58" i="8" s="1"/>
  <c r="L58" i="8" s="1"/>
  <c r="I7" i="8"/>
  <c r="C68" i="8"/>
  <c r="E68" i="8" s="1"/>
  <c r="L68" i="8" s="1"/>
  <c r="C54" i="8"/>
  <c r="E54" i="8" s="1"/>
  <c r="L54" i="8" s="1"/>
  <c r="I16" i="8"/>
  <c r="I36" i="8" s="1"/>
  <c r="C36" i="8"/>
  <c r="E36" i="8" s="1"/>
  <c r="L36" i="8" s="1"/>
  <c r="I31" i="8"/>
  <c r="C59" i="8"/>
  <c r="E59" i="8" s="1"/>
  <c r="L59" i="8" s="1"/>
  <c r="C73" i="8"/>
  <c r="E73" i="8" s="1"/>
  <c r="L73" i="8" s="1"/>
  <c r="C48" i="8"/>
  <c r="I12" i="8"/>
  <c r="I48" i="8" s="1"/>
  <c r="I29" i="8"/>
  <c r="C64" i="8"/>
  <c r="E64" i="8" s="1"/>
  <c r="L64" i="8" s="1"/>
  <c r="C78" i="8"/>
  <c r="E78" i="8" s="1"/>
  <c r="L78" i="8" s="1"/>
  <c r="I17" i="8"/>
  <c r="I46" i="8" s="1"/>
  <c r="C46" i="8"/>
  <c r="E46" i="8" s="1"/>
  <c r="L46" i="8" s="1"/>
  <c r="C43" i="8"/>
  <c r="E43" i="8" s="1"/>
  <c r="L43" i="8" s="1"/>
  <c r="I10" i="8"/>
  <c r="I43" i="8" s="1"/>
  <c r="I27" i="8"/>
  <c r="C66" i="8"/>
  <c r="E66" i="8" s="1"/>
  <c r="C52" i="8"/>
  <c r="E52" i="8" s="1"/>
  <c r="L52" i="8" s="1"/>
  <c r="I18" i="8"/>
  <c r="C74" i="8"/>
  <c r="E74" i="8" s="1"/>
  <c r="L74" i="8" s="1"/>
  <c r="C60" i="8"/>
  <c r="E60" i="8" s="1"/>
  <c r="L60" i="8" s="1"/>
  <c r="I24" i="8"/>
  <c r="I39" i="8" s="1"/>
  <c r="C39" i="8"/>
  <c r="E39" i="8" s="1"/>
  <c r="L39" i="8" s="1"/>
  <c r="E34" i="8"/>
  <c r="I26" i="8"/>
  <c r="C55" i="8"/>
  <c r="E55" i="8" s="1"/>
  <c r="L55" i="8" s="1"/>
  <c r="C69" i="8"/>
  <c r="E69" i="8" s="1"/>
  <c r="L69" i="8" s="1"/>
  <c r="I23" i="8"/>
  <c r="C67" i="8"/>
  <c r="E67" i="8" s="1"/>
  <c r="L67" i="8" s="1"/>
  <c r="C53" i="8"/>
  <c r="E53" i="8" s="1"/>
  <c r="L53" i="8" s="1"/>
  <c r="I25" i="8"/>
  <c r="I51" i="8" s="1"/>
  <c r="C51" i="8"/>
  <c r="I28" i="8"/>
  <c r="I38" i="8" s="1"/>
  <c r="C38" i="8"/>
  <c r="E38" i="8" s="1"/>
  <c r="L38" i="8" s="1"/>
  <c r="I32" i="8"/>
  <c r="I37" i="8" s="1"/>
  <c r="C37" i="8"/>
  <c r="E37" i="8" s="1"/>
  <c r="L37" i="8" s="1"/>
  <c r="I20" i="8"/>
  <c r="C76" i="8"/>
  <c r="E76" i="8" s="1"/>
  <c r="L76" i="8" s="1"/>
  <c r="C62" i="8"/>
  <c r="E62" i="8" s="1"/>
  <c r="L62" i="8" s="1"/>
  <c r="C75" i="8"/>
  <c r="E75" i="8" s="1"/>
  <c r="L75" i="8" s="1"/>
  <c r="I9" i="8"/>
  <c r="C61" i="8"/>
  <c r="E61" i="8" s="1"/>
  <c r="L61" i="8" s="1"/>
  <c r="I13" i="8"/>
  <c r="I41" i="8" s="1"/>
  <c r="C41" i="8"/>
  <c r="E41" i="8" s="1"/>
  <c r="L41" i="8" s="1"/>
  <c r="I21" i="8"/>
  <c r="I44" i="8" s="1"/>
  <c r="C44" i="8"/>
  <c r="E44" i="8" s="1"/>
  <c r="L44" i="8" s="1"/>
  <c r="I57" i="8"/>
  <c r="I71" i="8"/>
  <c r="I4" i="8"/>
  <c r="I40" i="8" s="1"/>
  <c r="C40" i="8"/>
  <c r="E40" i="8" s="1"/>
  <c r="L40" i="8" s="1"/>
  <c r="M29" i="5"/>
  <c r="M78" i="5" s="1"/>
  <c r="C78" i="5"/>
  <c r="M11" i="5"/>
  <c r="M71" i="5" s="1"/>
  <c r="C71" i="5"/>
  <c r="M14" i="5"/>
  <c r="M77" i="5" s="1"/>
  <c r="C77" i="5"/>
  <c r="M19" i="5"/>
  <c r="M70" i="5" s="1"/>
  <c r="C70" i="5"/>
  <c r="M22" i="5"/>
  <c r="M72" i="5" s="1"/>
  <c r="C72" i="5"/>
  <c r="M26" i="5"/>
  <c r="M69" i="5" s="1"/>
  <c r="C69" i="5"/>
  <c r="M20" i="5"/>
  <c r="M76" i="5" s="1"/>
  <c r="C76" i="5"/>
  <c r="M31" i="5"/>
  <c r="M73" i="5" s="1"/>
  <c r="C73" i="5"/>
  <c r="M23" i="5"/>
  <c r="M67" i="5" s="1"/>
  <c r="C67" i="5"/>
  <c r="M27" i="5"/>
  <c r="M66" i="5" s="1"/>
  <c r="C66" i="5"/>
  <c r="R66" i="5"/>
  <c r="D65" i="5"/>
  <c r="N65" i="5" s="1"/>
  <c r="M18" i="5"/>
  <c r="M74" i="5" s="1"/>
  <c r="C74" i="5"/>
  <c r="E65" i="5"/>
  <c r="O65" i="5" s="1"/>
  <c r="F65" i="5"/>
  <c r="P65" i="5" s="1"/>
  <c r="M9" i="5"/>
  <c r="M75" i="5" s="1"/>
  <c r="C75" i="5"/>
  <c r="G65" i="5"/>
  <c r="Q65" i="5" s="1"/>
  <c r="M7" i="5"/>
  <c r="M68" i="5" s="1"/>
  <c r="C68" i="5"/>
  <c r="P5" i="5"/>
  <c r="P34" i="5" s="1"/>
  <c r="K5" i="5"/>
  <c r="K34" i="5" s="1"/>
  <c r="R11" i="5"/>
  <c r="I11" i="5"/>
  <c r="Q14" i="5"/>
  <c r="Q77" i="5" s="1"/>
  <c r="L14" i="5"/>
  <c r="C46" i="5"/>
  <c r="H17" i="5"/>
  <c r="H46" i="5" s="1"/>
  <c r="Q19" i="5"/>
  <c r="Q70" i="5" s="1"/>
  <c r="L19" i="5"/>
  <c r="L70" i="5" s="1"/>
  <c r="R23" i="5"/>
  <c r="I23" i="5"/>
  <c r="I67" i="5" s="1"/>
  <c r="O24" i="5"/>
  <c r="O39" i="5" s="1"/>
  <c r="J24" i="5"/>
  <c r="J39" i="5" s="1"/>
  <c r="Q26" i="5"/>
  <c r="Q69" i="5" s="1"/>
  <c r="L26" i="5"/>
  <c r="L69" i="5" s="1"/>
  <c r="R27" i="5"/>
  <c r="I27" i="5"/>
  <c r="I66" i="5" s="1"/>
  <c r="Q28" i="5"/>
  <c r="Q38" i="5" s="1"/>
  <c r="L28" i="5"/>
  <c r="L38" i="5" s="1"/>
  <c r="O11" i="5"/>
  <c r="O71" i="5" s="1"/>
  <c r="J11" i="5"/>
  <c r="J71" i="5" s="1"/>
  <c r="P13" i="5"/>
  <c r="P41" i="5" s="1"/>
  <c r="K13" i="5"/>
  <c r="K41" i="5" s="1"/>
  <c r="Q22" i="5"/>
  <c r="Q72" i="5" s="1"/>
  <c r="L22" i="5"/>
  <c r="L72" i="5" s="1"/>
  <c r="O6" i="5"/>
  <c r="O42" i="5" s="1"/>
  <c r="J6" i="5"/>
  <c r="J42" i="5" s="1"/>
  <c r="C49" i="5"/>
  <c r="H8" i="5"/>
  <c r="H49" i="5" s="1"/>
  <c r="Q13" i="5"/>
  <c r="Q41" i="5" s="1"/>
  <c r="L13" i="5"/>
  <c r="L41" i="5" s="1"/>
  <c r="P6" i="5"/>
  <c r="P42" i="5" s="1"/>
  <c r="K6" i="5"/>
  <c r="K42" i="5" s="1"/>
  <c r="R8" i="5"/>
  <c r="I8" i="5"/>
  <c r="I49" i="5" s="1"/>
  <c r="C48" i="5"/>
  <c r="H12" i="5"/>
  <c r="H48" i="5" s="1"/>
  <c r="O15" i="5"/>
  <c r="O35" i="5" s="1"/>
  <c r="J15" i="5"/>
  <c r="J35" i="5" s="1"/>
  <c r="C36" i="5"/>
  <c r="H16" i="5"/>
  <c r="H36" i="5" s="1"/>
  <c r="P17" i="5"/>
  <c r="P46" i="5" s="1"/>
  <c r="K17" i="5"/>
  <c r="K46" i="5" s="1"/>
  <c r="C61" i="5"/>
  <c r="H9" i="5"/>
  <c r="H75" i="5" s="1"/>
  <c r="Q6" i="5"/>
  <c r="Q42" i="5" s="1"/>
  <c r="L6" i="5"/>
  <c r="L42" i="5" s="1"/>
  <c r="O8" i="5"/>
  <c r="O49" i="5" s="1"/>
  <c r="J8" i="5"/>
  <c r="J49" i="5" s="1"/>
  <c r="R9" i="5"/>
  <c r="I9" i="5"/>
  <c r="I75" i="5" s="1"/>
  <c r="C43" i="5"/>
  <c r="H10" i="5"/>
  <c r="H43" i="5" s="1"/>
  <c r="C54" i="5"/>
  <c r="H7" i="5"/>
  <c r="H68" i="5" s="1"/>
  <c r="P8" i="5"/>
  <c r="P49" i="5" s="1"/>
  <c r="K8" i="5"/>
  <c r="K49" i="5" s="1"/>
  <c r="O9" i="5"/>
  <c r="O75" i="5" s="1"/>
  <c r="J9" i="5"/>
  <c r="J75" i="5" s="1"/>
  <c r="R10" i="5"/>
  <c r="I10" i="5"/>
  <c r="I43" i="5" s="1"/>
  <c r="R12" i="5"/>
  <c r="I12" i="5"/>
  <c r="I48" i="5" s="1"/>
  <c r="C41" i="5"/>
  <c r="H13" i="5"/>
  <c r="H41" i="5" s="1"/>
  <c r="R14" i="5"/>
  <c r="I14" i="5"/>
  <c r="R7" i="5"/>
  <c r="I7" i="5"/>
  <c r="I68" i="5" s="1"/>
  <c r="Q8" i="5"/>
  <c r="Q49" i="5" s="1"/>
  <c r="L8" i="5"/>
  <c r="L49" i="5" s="1"/>
  <c r="P9" i="5"/>
  <c r="P75" i="5" s="1"/>
  <c r="K9" i="5"/>
  <c r="K75" i="5" s="1"/>
  <c r="O10" i="5"/>
  <c r="O43" i="5" s="1"/>
  <c r="J10" i="5"/>
  <c r="J43" i="5" s="1"/>
  <c r="O12" i="5"/>
  <c r="O48" i="5" s="1"/>
  <c r="J12" i="5"/>
  <c r="J48" i="5" s="1"/>
  <c r="Q4" i="5"/>
  <c r="Q40" i="5" s="1"/>
  <c r="L4" i="5"/>
  <c r="L40" i="5" s="1"/>
  <c r="Q5" i="5"/>
  <c r="Q34" i="5" s="1"/>
  <c r="L5" i="5"/>
  <c r="L34" i="5" s="1"/>
  <c r="C40" i="5"/>
  <c r="M4" i="5"/>
  <c r="M40" i="5" s="1"/>
  <c r="H4" i="5"/>
  <c r="H40" i="5" s="1"/>
  <c r="O7" i="5"/>
  <c r="O68" i="5" s="1"/>
  <c r="J7" i="5"/>
  <c r="J68" i="5" s="1"/>
  <c r="Q9" i="5"/>
  <c r="Q75" i="5" s="1"/>
  <c r="L9" i="5"/>
  <c r="L75" i="5" s="1"/>
  <c r="P10" i="5"/>
  <c r="P43" i="5" s="1"/>
  <c r="K10" i="5"/>
  <c r="K43" i="5" s="1"/>
  <c r="P12" i="5"/>
  <c r="P48" i="5" s="1"/>
  <c r="K12" i="5"/>
  <c r="K48" i="5" s="1"/>
  <c r="P16" i="5"/>
  <c r="P36" i="5" s="1"/>
  <c r="K16" i="5"/>
  <c r="K36" i="5" s="1"/>
  <c r="R18" i="5"/>
  <c r="I18" i="5"/>
  <c r="I74" i="5" s="1"/>
  <c r="P21" i="5"/>
  <c r="P44" i="5" s="1"/>
  <c r="K21" i="5"/>
  <c r="K44" i="5" s="1"/>
  <c r="P25" i="5"/>
  <c r="P51" i="5" s="1"/>
  <c r="K25" i="5"/>
  <c r="K51" i="5" s="1"/>
  <c r="R6" i="5"/>
  <c r="I6" i="5"/>
  <c r="I42" i="5" s="1"/>
  <c r="Q11" i="5"/>
  <c r="Q71" i="5" s="1"/>
  <c r="L11" i="5"/>
  <c r="L71" i="5" s="1"/>
  <c r="R4" i="5"/>
  <c r="I4" i="5"/>
  <c r="I40" i="5" s="1"/>
  <c r="C34" i="5"/>
  <c r="H5" i="5"/>
  <c r="H34" i="5" s="1"/>
  <c r="O4" i="5"/>
  <c r="O40" i="5" s="1"/>
  <c r="J4" i="5"/>
  <c r="J40" i="5" s="1"/>
  <c r="R5" i="5"/>
  <c r="I5" i="5"/>
  <c r="I34" i="5" s="1"/>
  <c r="P7" i="5"/>
  <c r="P68" i="5" s="1"/>
  <c r="K7" i="5"/>
  <c r="Q10" i="5"/>
  <c r="Q43" i="5" s="1"/>
  <c r="L10" i="5"/>
  <c r="L43" i="5" s="1"/>
  <c r="Q12" i="5"/>
  <c r="Q48" i="5" s="1"/>
  <c r="L12" i="5"/>
  <c r="L48" i="5" s="1"/>
  <c r="Q16" i="5"/>
  <c r="Q36" i="5" s="1"/>
  <c r="L16" i="5"/>
  <c r="L36" i="5" s="1"/>
  <c r="O18" i="5"/>
  <c r="O74" i="5" s="1"/>
  <c r="J18" i="5"/>
  <c r="C62" i="5"/>
  <c r="H20" i="5"/>
  <c r="H76" i="5" s="1"/>
  <c r="P4" i="5"/>
  <c r="P40" i="5" s="1"/>
  <c r="K4" i="5"/>
  <c r="K40" i="5" s="1"/>
  <c r="O5" i="5"/>
  <c r="O34" i="5" s="1"/>
  <c r="J5" i="5"/>
  <c r="J34" i="5" s="1"/>
  <c r="Q7" i="5"/>
  <c r="Q68" i="5" s="1"/>
  <c r="L7" i="5"/>
  <c r="L68" i="5" s="1"/>
  <c r="C57" i="5"/>
  <c r="H11" i="5"/>
  <c r="H71" i="5" s="1"/>
  <c r="C63" i="5"/>
  <c r="H14" i="5"/>
  <c r="P18" i="5"/>
  <c r="P74" i="5" s="1"/>
  <c r="K18" i="5"/>
  <c r="K74" i="5" s="1"/>
  <c r="C56" i="5"/>
  <c r="H19" i="5"/>
  <c r="H70" i="5" s="1"/>
  <c r="R20" i="5"/>
  <c r="I20" i="5"/>
  <c r="I76" i="5" s="1"/>
  <c r="C58" i="5"/>
  <c r="H22" i="5"/>
  <c r="H72" i="5" s="1"/>
  <c r="Q18" i="5"/>
  <c r="Q74" i="5" s="1"/>
  <c r="L18" i="5"/>
  <c r="L74" i="5" s="1"/>
  <c r="R19" i="5"/>
  <c r="I19" i="5"/>
  <c r="I70" i="5" s="1"/>
  <c r="O14" i="5"/>
  <c r="O77" i="5" s="1"/>
  <c r="J14" i="5"/>
  <c r="J77" i="5" s="1"/>
  <c r="O19" i="5"/>
  <c r="O70" i="5" s="1"/>
  <c r="J19" i="5"/>
  <c r="J70" i="5" s="1"/>
  <c r="R13" i="5"/>
  <c r="I13" i="5"/>
  <c r="I41" i="5" s="1"/>
  <c r="C42" i="5"/>
  <c r="H6" i="5"/>
  <c r="H42" i="5" s="1"/>
  <c r="P11" i="5"/>
  <c r="P71" i="5" s="1"/>
  <c r="K11" i="5"/>
  <c r="K71" i="5" s="1"/>
  <c r="O13" i="5"/>
  <c r="O41" i="5" s="1"/>
  <c r="J13" i="5"/>
  <c r="J41" i="5" s="1"/>
  <c r="P14" i="5"/>
  <c r="P77" i="5" s="1"/>
  <c r="K14" i="5"/>
  <c r="K77" i="5" s="1"/>
  <c r="P20" i="5"/>
  <c r="P76" i="5" s="1"/>
  <c r="K20" i="5"/>
  <c r="K76" i="5" s="1"/>
  <c r="O22" i="5"/>
  <c r="O72" i="5" s="1"/>
  <c r="J22" i="5"/>
  <c r="J72" i="5" s="1"/>
  <c r="C39" i="5"/>
  <c r="H24" i="5"/>
  <c r="H39" i="5" s="1"/>
  <c r="O26" i="5"/>
  <c r="O69" i="5" s="1"/>
  <c r="J26" i="5"/>
  <c r="J69" i="5" s="1"/>
  <c r="O28" i="5"/>
  <c r="O38" i="5" s="1"/>
  <c r="J28" i="5"/>
  <c r="J38" i="5" s="1"/>
  <c r="Q29" i="5"/>
  <c r="Q78" i="5" s="1"/>
  <c r="L29" i="5"/>
  <c r="P31" i="5"/>
  <c r="P73" i="5" s="1"/>
  <c r="K31" i="5"/>
  <c r="K73" i="5" s="1"/>
  <c r="P19" i="5"/>
  <c r="P70" i="5" s="1"/>
  <c r="K19" i="5"/>
  <c r="Q20" i="5"/>
  <c r="Q76" i="5" s="1"/>
  <c r="L20" i="5"/>
  <c r="P22" i="5"/>
  <c r="P72" i="5" s="1"/>
  <c r="K22" i="5"/>
  <c r="K72" i="5" s="1"/>
  <c r="C53" i="5"/>
  <c r="H23" i="5"/>
  <c r="H67" i="5" s="1"/>
  <c r="R24" i="5"/>
  <c r="I24" i="5"/>
  <c r="I39" i="5" s="1"/>
  <c r="P26" i="5"/>
  <c r="P69" i="5" s="1"/>
  <c r="K26" i="5"/>
  <c r="K69" i="5" s="1"/>
  <c r="C52" i="5"/>
  <c r="H27" i="5"/>
  <c r="H66" i="5" s="1"/>
  <c r="P28" i="5"/>
  <c r="P38" i="5" s="1"/>
  <c r="K28" i="5"/>
  <c r="K38" i="5" s="1"/>
  <c r="Q31" i="5"/>
  <c r="Q73" i="5" s="1"/>
  <c r="L31" i="5"/>
  <c r="C35" i="5"/>
  <c r="H15" i="5"/>
  <c r="H35" i="5" s="1"/>
  <c r="R17" i="5"/>
  <c r="I17" i="5"/>
  <c r="I46" i="5" s="1"/>
  <c r="O23" i="5"/>
  <c r="O67" i="5" s="1"/>
  <c r="J23" i="5"/>
  <c r="J67" i="5" s="1"/>
  <c r="P24" i="5"/>
  <c r="P39" i="5" s="1"/>
  <c r="K24" i="5"/>
  <c r="K39" i="5" s="1"/>
  <c r="O27" i="5"/>
  <c r="O66" i="5" s="1"/>
  <c r="J27" i="5"/>
  <c r="R15" i="5"/>
  <c r="I15" i="5"/>
  <c r="I35" i="5" s="1"/>
  <c r="O17" i="5"/>
  <c r="O46" i="5" s="1"/>
  <c r="J17" i="5"/>
  <c r="J46" i="5" s="1"/>
  <c r="P23" i="5"/>
  <c r="P67" i="5" s="1"/>
  <c r="K23" i="5"/>
  <c r="K67" i="5" s="1"/>
  <c r="Q24" i="5"/>
  <c r="Q39" i="5" s="1"/>
  <c r="L24" i="5"/>
  <c r="L39" i="5" s="1"/>
  <c r="P27" i="5"/>
  <c r="P66" i="5" s="1"/>
  <c r="K27" i="5"/>
  <c r="K66" i="5" s="1"/>
  <c r="C45" i="5"/>
  <c r="H30" i="5"/>
  <c r="H45" i="5" s="1"/>
  <c r="C44" i="5"/>
  <c r="H21" i="5"/>
  <c r="H44" i="5" s="1"/>
  <c r="Q23" i="5"/>
  <c r="Q67" i="5" s="1"/>
  <c r="L23" i="5"/>
  <c r="C51" i="5"/>
  <c r="H25" i="5"/>
  <c r="H51" i="5" s="1"/>
  <c r="Q27" i="5"/>
  <c r="Q66" i="5" s="1"/>
  <c r="L27" i="5"/>
  <c r="L66" i="5" s="1"/>
  <c r="R30" i="5"/>
  <c r="I30" i="5"/>
  <c r="I45" i="5" s="1"/>
  <c r="P15" i="5"/>
  <c r="P35" i="5" s="1"/>
  <c r="K15" i="5"/>
  <c r="K35" i="5" s="1"/>
  <c r="R16" i="5"/>
  <c r="I16" i="5"/>
  <c r="I36" i="5" s="1"/>
  <c r="Q17" i="5"/>
  <c r="Q46" i="5" s="1"/>
  <c r="L17" i="5"/>
  <c r="L46" i="5" s="1"/>
  <c r="R21" i="5"/>
  <c r="I21" i="5"/>
  <c r="I44" i="5" s="1"/>
  <c r="R25" i="5"/>
  <c r="I25" i="5"/>
  <c r="I51" i="5" s="1"/>
  <c r="O30" i="5"/>
  <c r="O45" i="5" s="1"/>
  <c r="J30" i="5"/>
  <c r="J45" i="5" s="1"/>
  <c r="C37" i="5"/>
  <c r="H32" i="5"/>
  <c r="H37" i="5" s="1"/>
  <c r="Q15" i="5"/>
  <c r="Q35" i="5" s="1"/>
  <c r="L15" i="5"/>
  <c r="L35" i="5" s="1"/>
  <c r="O16" i="5"/>
  <c r="O36" i="5" s="1"/>
  <c r="J16" i="5"/>
  <c r="J36" i="5" s="1"/>
  <c r="C60" i="5"/>
  <c r="H18" i="5"/>
  <c r="H74" i="5" s="1"/>
  <c r="O21" i="5"/>
  <c r="O44" i="5" s="1"/>
  <c r="J21" i="5"/>
  <c r="J44" i="5" s="1"/>
  <c r="O25" i="5"/>
  <c r="O51" i="5" s="1"/>
  <c r="J25" i="5"/>
  <c r="J51" i="5" s="1"/>
  <c r="P30" i="5"/>
  <c r="P45" i="5" s="1"/>
  <c r="K30" i="5"/>
  <c r="K45" i="5" s="1"/>
  <c r="R32" i="5"/>
  <c r="I32" i="5"/>
  <c r="I37" i="5" s="1"/>
  <c r="C64" i="5"/>
  <c r="H29" i="5"/>
  <c r="H78" i="5" s="1"/>
  <c r="Q30" i="5"/>
  <c r="Q45" i="5" s="1"/>
  <c r="L30" i="5"/>
  <c r="L45" i="5" s="1"/>
  <c r="O32" i="5"/>
  <c r="O37" i="5" s="1"/>
  <c r="J32" i="5"/>
  <c r="J37" i="5" s="1"/>
  <c r="Q21" i="5"/>
  <c r="Q44" i="5" s="1"/>
  <c r="L21" i="5"/>
  <c r="L44" i="5" s="1"/>
  <c r="Q25" i="5"/>
  <c r="Q51" i="5" s="1"/>
  <c r="L25" i="5"/>
  <c r="L51" i="5" s="1"/>
  <c r="R29" i="5"/>
  <c r="I29" i="5"/>
  <c r="C59" i="5"/>
  <c r="H31" i="5"/>
  <c r="P32" i="5"/>
  <c r="P37" i="5" s="1"/>
  <c r="K32" i="5"/>
  <c r="K37" i="5" s="1"/>
  <c r="C55" i="5"/>
  <c r="H26" i="5"/>
  <c r="H69" i="5" s="1"/>
  <c r="C38" i="5"/>
  <c r="H28" i="5"/>
  <c r="H38" i="5" s="1"/>
  <c r="O29" i="5"/>
  <c r="O78" i="5" s="1"/>
  <c r="J29" i="5"/>
  <c r="R31" i="5"/>
  <c r="I31" i="5"/>
  <c r="Q32" i="5"/>
  <c r="Q37" i="5" s="1"/>
  <c r="L32" i="5"/>
  <c r="L37" i="5" s="1"/>
  <c r="O20" i="5"/>
  <c r="O76" i="5" s="1"/>
  <c r="J20" i="5"/>
  <c r="J76" i="5" s="1"/>
  <c r="R22" i="5"/>
  <c r="I22" i="5"/>
  <c r="I72" i="5" s="1"/>
  <c r="R26" i="5"/>
  <c r="I26" i="5"/>
  <c r="I69" i="5" s="1"/>
  <c r="R28" i="5"/>
  <c r="I28" i="5"/>
  <c r="I38" i="5" s="1"/>
  <c r="P29" i="5"/>
  <c r="P78" i="5" s="1"/>
  <c r="K29" i="5"/>
  <c r="O31" i="5"/>
  <c r="O73" i="5" s="1"/>
  <c r="J31" i="5"/>
  <c r="H61" i="5"/>
  <c r="K53" i="5"/>
  <c r="I54" i="5"/>
  <c r="D45" i="5"/>
  <c r="R45" i="5" s="1"/>
  <c r="F46" i="5"/>
  <c r="E35" i="5"/>
  <c r="F41" i="5"/>
  <c r="E41" i="5"/>
  <c r="D61" i="5"/>
  <c r="R61" i="5" s="1"/>
  <c r="G42" i="5"/>
  <c r="E42" i="5"/>
  <c r="D42" i="5"/>
  <c r="R42" i="5" s="1"/>
  <c r="F34" i="5"/>
  <c r="G40" i="5"/>
  <c r="G64" i="5"/>
  <c r="G62" i="5"/>
  <c r="G63" i="5"/>
  <c r="G61" i="5"/>
  <c r="G60" i="5"/>
  <c r="G59" i="5"/>
  <c r="G58" i="5"/>
  <c r="G55" i="5"/>
  <c r="G54" i="5"/>
  <c r="G56" i="5"/>
  <c r="G51" i="5"/>
  <c r="G49" i="5"/>
  <c r="G48" i="5"/>
  <c r="G46" i="5"/>
  <c r="G45" i="5"/>
  <c r="G44" i="5"/>
  <c r="G43" i="5"/>
  <c r="G41" i="5"/>
  <c r="G39" i="5"/>
  <c r="G38" i="5"/>
  <c r="G37" i="5"/>
  <c r="G36" i="5"/>
  <c r="G35" i="5"/>
  <c r="G34" i="5"/>
  <c r="F64" i="5"/>
  <c r="F62" i="5"/>
  <c r="F63" i="5"/>
  <c r="F61" i="5"/>
  <c r="F60" i="5"/>
  <c r="F59" i="5"/>
  <c r="F58" i="5"/>
  <c r="F55" i="5"/>
  <c r="F57" i="5"/>
  <c r="F54" i="5"/>
  <c r="F56" i="5"/>
  <c r="F53" i="5"/>
  <c r="F52" i="5"/>
  <c r="F51" i="5"/>
  <c r="F49" i="5"/>
  <c r="F48" i="5"/>
  <c r="F45" i="5"/>
  <c r="F44" i="5"/>
  <c r="F43" i="5"/>
  <c r="F42" i="5"/>
  <c r="F40" i="5"/>
  <c r="F39" i="5"/>
  <c r="F38" i="5"/>
  <c r="F37" i="5"/>
  <c r="F36" i="5"/>
  <c r="F35" i="5"/>
  <c r="E64" i="5"/>
  <c r="E62" i="5"/>
  <c r="E63" i="5"/>
  <c r="E61" i="5"/>
  <c r="E60" i="5"/>
  <c r="E59" i="5"/>
  <c r="E58" i="5"/>
  <c r="E55" i="5"/>
  <c r="E57" i="5"/>
  <c r="E54" i="5"/>
  <c r="E56" i="5"/>
  <c r="E53" i="5"/>
  <c r="E52" i="5"/>
  <c r="E51" i="5"/>
  <c r="E49" i="5"/>
  <c r="E48" i="5"/>
  <c r="E46" i="5"/>
  <c r="E45" i="5"/>
  <c r="E44" i="5"/>
  <c r="E43" i="5"/>
  <c r="E40" i="5"/>
  <c r="E39" i="5"/>
  <c r="E38" i="5"/>
  <c r="E37" i="5"/>
  <c r="E36" i="5"/>
  <c r="E34" i="5"/>
  <c r="D34" i="5"/>
  <c r="R34" i="5" s="1"/>
  <c r="D35" i="5"/>
  <c r="R35" i="5" s="1"/>
  <c r="D36" i="5"/>
  <c r="R36" i="5" s="1"/>
  <c r="D37" i="5"/>
  <c r="R37" i="5" s="1"/>
  <c r="D38" i="5"/>
  <c r="R38" i="5" s="1"/>
  <c r="D39" i="5"/>
  <c r="R39" i="5" s="1"/>
  <c r="D40" i="5"/>
  <c r="R40" i="5" s="1"/>
  <c r="D41" i="5"/>
  <c r="R41" i="5" s="1"/>
  <c r="D43" i="5"/>
  <c r="R43" i="5" s="1"/>
  <c r="D44" i="5"/>
  <c r="R44" i="5" s="1"/>
  <c r="D46" i="5"/>
  <c r="R46" i="5" s="1"/>
  <c r="D48" i="5"/>
  <c r="R48" i="5" s="1"/>
  <c r="D49" i="5"/>
  <c r="R49" i="5" s="1"/>
  <c r="D51" i="5"/>
  <c r="R51" i="5" s="1"/>
  <c r="D52" i="5"/>
  <c r="R52" i="5" s="1"/>
  <c r="D53" i="5"/>
  <c r="R53" i="5" s="1"/>
  <c r="D56" i="5"/>
  <c r="R56" i="5" s="1"/>
  <c r="D54" i="5"/>
  <c r="R54" i="5" s="1"/>
  <c r="D57" i="5"/>
  <c r="R57" i="5" s="1"/>
  <c r="D55" i="5"/>
  <c r="R55" i="5" s="1"/>
  <c r="D58" i="5"/>
  <c r="R58" i="5" s="1"/>
  <c r="D59" i="5"/>
  <c r="R59" i="5" s="1"/>
  <c r="D60" i="5"/>
  <c r="R60" i="5" s="1"/>
  <c r="D63" i="5"/>
  <c r="R63" i="5" s="1"/>
  <c r="D62" i="5"/>
  <c r="R62" i="5" s="1"/>
  <c r="D64" i="5"/>
  <c r="R64" i="5" s="1"/>
  <c r="M53" i="5" l="1"/>
  <c r="L57" i="5"/>
  <c r="M58" i="5"/>
  <c r="K55" i="5"/>
  <c r="H53" i="5"/>
  <c r="M55" i="5"/>
  <c r="J61" i="5"/>
  <c r="M57" i="5"/>
  <c r="R50" i="10"/>
  <c r="N50" i="10"/>
  <c r="J58" i="5"/>
  <c r="N47" i="10"/>
  <c r="R47" i="10"/>
  <c r="R33" i="10"/>
  <c r="N33" i="10"/>
  <c r="R65" i="10"/>
  <c r="N65" i="10"/>
  <c r="J63" i="5"/>
  <c r="I60" i="5"/>
  <c r="L61" i="5"/>
  <c r="M52" i="5"/>
  <c r="M54" i="5"/>
  <c r="M64" i="5"/>
  <c r="I74" i="8"/>
  <c r="I60" i="8"/>
  <c r="E48" i="8"/>
  <c r="C47" i="8"/>
  <c r="I47" i="8" s="1"/>
  <c r="I75" i="8"/>
  <c r="I61" i="8"/>
  <c r="I73" i="8"/>
  <c r="I59" i="8"/>
  <c r="I62" i="8"/>
  <c r="I76" i="8"/>
  <c r="I69" i="8"/>
  <c r="I55" i="8"/>
  <c r="C33" i="8"/>
  <c r="I33" i="8" s="1"/>
  <c r="I52" i="8"/>
  <c r="I66" i="8"/>
  <c r="E33" i="8"/>
  <c r="L34" i="8"/>
  <c r="C65" i="8"/>
  <c r="I65" i="8" s="1"/>
  <c r="E70" i="8"/>
  <c r="L70" i="8" s="1"/>
  <c r="L66" i="8"/>
  <c r="I54" i="8"/>
  <c r="I68" i="8"/>
  <c r="I70" i="8"/>
  <c r="I56" i="8"/>
  <c r="E51" i="8"/>
  <c r="C50" i="8"/>
  <c r="I50" i="8" s="1"/>
  <c r="I64" i="8"/>
  <c r="I78" i="8"/>
  <c r="I67" i="8"/>
  <c r="I53" i="8"/>
  <c r="I72" i="8"/>
  <c r="I58" i="8"/>
  <c r="I77" i="8"/>
  <c r="I63" i="8"/>
  <c r="J57" i="5"/>
  <c r="K58" i="5"/>
  <c r="H64" i="5"/>
  <c r="M62" i="5"/>
  <c r="K63" i="5"/>
  <c r="K57" i="5"/>
  <c r="M63" i="5"/>
  <c r="M59" i="5"/>
  <c r="H63" i="5"/>
  <c r="H77" i="5"/>
  <c r="J64" i="5"/>
  <c r="J78" i="5"/>
  <c r="L62" i="5"/>
  <c r="L76" i="5"/>
  <c r="K56" i="5"/>
  <c r="K70" i="5"/>
  <c r="J59" i="5"/>
  <c r="J73" i="5"/>
  <c r="M60" i="5"/>
  <c r="I57" i="5"/>
  <c r="I71" i="5"/>
  <c r="K62" i="5"/>
  <c r="L53" i="5"/>
  <c r="L67" i="5"/>
  <c r="J52" i="5"/>
  <c r="J66" i="5"/>
  <c r="K54" i="5"/>
  <c r="K68" i="5"/>
  <c r="M61" i="5"/>
  <c r="C65" i="5"/>
  <c r="M65" i="5" s="1"/>
  <c r="I64" i="5"/>
  <c r="I78" i="5"/>
  <c r="L58" i="5"/>
  <c r="H57" i="5"/>
  <c r="H59" i="5"/>
  <c r="H73" i="5"/>
  <c r="L64" i="5"/>
  <c r="L78" i="5"/>
  <c r="I63" i="5"/>
  <c r="I77" i="5"/>
  <c r="L56" i="5"/>
  <c r="I62" i="5"/>
  <c r="K64" i="5"/>
  <c r="K78" i="5"/>
  <c r="L59" i="5"/>
  <c r="L73" i="5"/>
  <c r="L63" i="5"/>
  <c r="L77" i="5"/>
  <c r="I61" i="5"/>
  <c r="J60" i="5"/>
  <c r="J74" i="5"/>
  <c r="H56" i="5"/>
  <c r="I59" i="5"/>
  <c r="I73" i="5"/>
  <c r="M56" i="5"/>
  <c r="I52" i="5"/>
  <c r="I53" i="5"/>
  <c r="L55" i="5"/>
  <c r="L54" i="5"/>
  <c r="Q61" i="5"/>
  <c r="Q52" i="5"/>
  <c r="Q54" i="5"/>
  <c r="P61" i="5"/>
  <c r="O61" i="5"/>
  <c r="Q62" i="5"/>
  <c r="P56" i="5"/>
  <c r="O60" i="5"/>
  <c r="Q53" i="5"/>
  <c r="O52" i="5"/>
  <c r="P59" i="5"/>
  <c r="Q60" i="5"/>
  <c r="P60" i="5"/>
  <c r="Q55" i="5"/>
  <c r="Q63" i="5"/>
  <c r="O53" i="5"/>
  <c r="O55" i="5"/>
  <c r="O63" i="5"/>
  <c r="K47" i="5"/>
  <c r="O57" i="5"/>
  <c r="O62" i="5"/>
  <c r="Q59" i="5"/>
  <c r="Q57" i="5"/>
  <c r="O54" i="5"/>
  <c r="K60" i="5"/>
  <c r="P55" i="5"/>
  <c r="Q64" i="5"/>
  <c r="O58" i="5"/>
  <c r="O56" i="5"/>
  <c r="Q58" i="5"/>
  <c r="Q56" i="5"/>
  <c r="O64" i="5"/>
  <c r="P64" i="5"/>
  <c r="P52" i="5"/>
  <c r="P63" i="5"/>
  <c r="P57" i="5"/>
  <c r="L52" i="5"/>
  <c r="O59" i="5"/>
  <c r="P58" i="5"/>
  <c r="P54" i="5"/>
  <c r="P53" i="5"/>
  <c r="P62" i="5"/>
  <c r="H60" i="5"/>
  <c r="K52" i="5"/>
  <c r="K61" i="5"/>
  <c r="H47" i="5"/>
  <c r="J55" i="5"/>
  <c r="H54" i="5"/>
  <c r="L60" i="5"/>
  <c r="H62" i="5"/>
  <c r="H52" i="5"/>
  <c r="I56" i="5"/>
  <c r="J54" i="5"/>
  <c r="J53" i="5"/>
  <c r="K59" i="5"/>
  <c r="J47" i="5"/>
  <c r="I47" i="5"/>
  <c r="J62" i="5"/>
  <c r="J33" i="5"/>
  <c r="L47" i="5"/>
  <c r="L33" i="5"/>
  <c r="K33" i="5"/>
  <c r="I58" i="5"/>
  <c r="H33" i="5"/>
  <c r="I33" i="5"/>
  <c r="H55" i="5"/>
  <c r="H58" i="5"/>
  <c r="J56" i="5"/>
  <c r="I55" i="5"/>
  <c r="D50" i="5"/>
  <c r="N50" i="5" s="1"/>
  <c r="E33" i="5"/>
  <c r="O33" i="5" s="1"/>
  <c r="E50" i="5"/>
  <c r="O50" i="5" s="1"/>
  <c r="D33" i="5"/>
  <c r="N33" i="5" s="1"/>
  <c r="F50" i="5"/>
  <c r="P50" i="5" s="1"/>
  <c r="G33" i="5"/>
  <c r="Q33" i="5" s="1"/>
  <c r="C50" i="5"/>
  <c r="M50" i="5" s="1"/>
  <c r="C33" i="5"/>
  <c r="M33" i="5" s="1"/>
  <c r="F33" i="5"/>
  <c r="P33" i="5" s="1"/>
  <c r="G52" i="5"/>
  <c r="G53" i="5"/>
  <c r="G57" i="5"/>
  <c r="F47" i="5"/>
  <c r="P47" i="5" s="1"/>
  <c r="G47" i="5"/>
  <c r="Q47" i="5" s="1"/>
  <c r="D47" i="5"/>
  <c r="N47" i="5" s="1"/>
  <c r="C47" i="5"/>
  <c r="M47" i="5" s="1"/>
  <c r="E47" i="5"/>
  <c r="O47" i="5" s="1"/>
  <c r="D13" i="4"/>
  <c r="C13" i="4"/>
  <c r="I13" i="4" s="1"/>
  <c r="D12" i="4"/>
  <c r="C12" i="4"/>
  <c r="I12" i="4" s="1"/>
  <c r="D11" i="4"/>
  <c r="C11" i="4"/>
  <c r="D10" i="4"/>
  <c r="C10" i="4"/>
  <c r="I10" i="4" s="1"/>
  <c r="D9" i="4"/>
  <c r="C9" i="4"/>
  <c r="D8" i="4"/>
  <c r="C8" i="4"/>
  <c r="I8" i="4" s="1"/>
  <c r="D7" i="4"/>
  <c r="C7" i="4"/>
  <c r="D6" i="4"/>
  <c r="C6" i="4"/>
  <c r="D5" i="4"/>
  <c r="C5" i="4"/>
  <c r="I5" i="4" s="1"/>
  <c r="H65" i="5" l="1"/>
  <c r="E65" i="8"/>
  <c r="L65" i="8" s="1"/>
  <c r="L33" i="8"/>
  <c r="K33" i="8"/>
  <c r="L48" i="8"/>
  <c r="E47" i="8"/>
  <c r="L51" i="8"/>
  <c r="E50" i="8"/>
  <c r="I11" i="4"/>
  <c r="I71" i="4" s="1"/>
  <c r="C71" i="4"/>
  <c r="I9" i="4"/>
  <c r="I75" i="4" s="1"/>
  <c r="C75" i="4"/>
  <c r="J11" i="4"/>
  <c r="J71" i="4" s="1"/>
  <c r="D71" i="4"/>
  <c r="J9" i="4"/>
  <c r="J75" i="4" s="1"/>
  <c r="D75" i="4"/>
  <c r="I7" i="4"/>
  <c r="I68" i="4" s="1"/>
  <c r="C68" i="4"/>
  <c r="J7" i="4"/>
  <c r="J68" i="4" s="1"/>
  <c r="D68" i="4"/>
  <c r="J65" i="5"/>
  <c r="L65" i="5"/>
  <c r="I65" i="5"/>
  <c r="K65" i="5"/>
  <c r="K50" i="5"/>
  <c r="L50" i="5"/>
  <c r="H50" i="5"/>
  <c r="J50" i="5"/>
  <c r="D49" i="4"/>
  <c r="J8" i="4"/>
  <c r="C42" i="4"/>
  <c r="I6" i="4"/>
  <c r="D48" i="4"/>
  <c r="J12" i="4"/>
  <c r="D42" i="4"/>
  <c r="J6" i="4"/>
  <c r="D41" i="4"/>
  <c r="J13" i="4"/>
  <c r="J41" i="4" s="1"/>
  <c r="D43" i="4"/>
  <c r="J10" i="4"/>
  <c r="D34" i="4"/>
  <c r="J5" i="4"/>
  <c r="I50" i="5"/>
  <c r="E9" i="4"/>
  <c r="K9" i="4" s="1"/>
  <c r="K75" i="4" s="1"/>
  <c r="C61" i="4"/>
  <c r="E13" i="4"/>
  <c r="K13" i="4" s="1"/>
  <c r="K41" i="4" s="1"/>
  <c r="C41" i="4"/>
  <c r="D54" i="4"/>
  <c r="E8" i="4"/>
  <c r="K8" i="4" s="1"/>
  <c r="C49" i="4"/>
  <c r="E7" i="4"/>
  <c r="K7" i="4" s="1"/>
  <c r="K68" i="4" s="1"/>
  <c r="C54" i="4"/>
  <c r="E10" i="4"/>
  <c r="K10" i="4" s="1"/>
  <c r="C43" i="4"/>
  <c r="E43" i="4" s="1"/>
  <c r="E11" i="4"/>
  <c r="K11" i="4" s="1"/>
  <c r="K71" i="4" s="1"/>
  <c r="C57" i="4"/>
  <c r="D61" i="4"/>
  <c r="E5" i="4"/>
  <c r="K5" i="4" s="1"/>
  <c r="C34" i="4"/>
  <c r="D57" i="4"/>
  <c r="E12" i="4"/>
  <c r="K12" i="4" s="1"/>
  <c r="C48" i="4"/>
  <c r="C47" i="4" s="1"/>
  <c r="I47" i="4" s="1"/>
  <c r="R47" i="5"/>
  <c r="R33" i="5"/>
  <c r="R50" i="5"/>
  <c r="R65" i="5"/>
  <c r="G50" i="5"/>
  <c r="Q50" i="5" s="1"/>
  <c r="E6" i="4"/>
  <c r="K6" i="4" s="1"/>
  <c r="D32" i="4"/>
  <c r="G32" i="4" s="1"/>
  <c r="G37" i="4" s="1"/>
  <c r="C32" i="4"/>
  <c r="D31" i="4"/>
  <c r="C31" i="4"/>
  <c r="D30" i="4"/>
  <c r="C30" i="4"/>
  <c r="D29" i="4"/>
  <c r="C29" i="4"/>
  <c r="D28" i="4"/>
  <c r="C28" i="4"/>
  <c r="D27" i="4"/>
  <c r="C27" i="4"/>
  <c r="D26" i="4"/>
  <c r="C26" i="4"/>
  <c r="D25" i="4"/>
  <c r="C25" i="4"/>
  <c r="I25" i="4" s="1"/>
  <c r="D24" i="4"/>
  <c r="C24" i="4"/>
  <c r="D23" i="4"/>
  <c r="C23" i="4"/>
  <c r="D22" i="4"/>
  <c r="C22" i="4"/>
  <c r="D21" i="4"/>
  <c r="G21" i="4" s="1"/>
  <c r="G44" i="4" s="1"/>
  <c r="C21" i="4"/>
  <c r="D20" i="4"/>
  <c r="C20" i="4"/>
  <c r="D19" i="4"/>
  <c r="C19" i="4"/>
  <c r="F19" i="4" s="1"/>
  <c r="F70" i="4" s="1"/>
  <c r="D18" i="4"/>
  <c r="C18" i="4"/>
  <c r="D17" i="4"/>
  <c r="G17" i="4" s="1"/>
  <c r="G46" i="4" s="1"/>
  <c r="C17" i="4"/>
  <c r="D16" i="4"/>
  <c r="C16" i="4"/>
  <c r="D15" i="4"/>
  <c r="C15" i="4"/>
  <c r="D14" i="4"/>
  <c r="C14" i="4"/>
  <c r="D4" i="4"/>
  <c r="C4" i="4"/>
  <c r="D32" i="3"/>
  <c r="D31" i="3"/>
  <c r="D73" i="3" s="1"/>
  <c r="D30" i="3"/>
  <c r="D29" i="3"/>
  <c r="D28" i="3"/>
  <c r="D38" i="3" s="1"/>
  <c r="D27" i="3"/>
  <c r="D66" i="3" s="1"/>
  <c r="D26" i="3"/>
  <c r="D25" i="3"/>
  <c r="J25" i="3" s="1"/>
  <c r="J51" i="3" s="1"/>
  <c r="D24" i="3"/>
  <c r="J24" i="3" s="1"/>
  <c r="J39" i="3" s="1"/>
  <c r="D23" i="3"/>
  <c r="D67" i="3" s="1"/>
  <c r="D22" i="3"/>
  <c r="D72" i="3" s="1"/>
  <c r="D21" i="3"/>
  <c r="G21" i="3" s="1"/>
  <c r="G44" i="3" s="1"/>
  <c r="D20" i="3"/>
  <c r="D76" i="3" s="1"/>
  <c r="D19" i="3"/>
  <c r="D18" i="3"/>
  <c r="D17" i="3"/>
  <c r="D46" i="3" s="1"/>
  <c r="D16" i="3"/>
  <c r="D36" i="3" s="1"/>
  <c r="D15" i="3"/>
  <c r="D14" i="3"/>
  <c r="D77" i="3" s="1"/>
  <c r="D13" i="3"/>
  <c r="D41" i="3" s="1"/>
  <c r="D12" i="3"/>
  <c r="D48" i="3" s="1"/>
  <c r="D11" i="3"/>
  <c r="D10" i="3"/>
  <c r="D43" i="3" s="1"/>
  <c r="D9" i="3"/>
  <c r="D8" i="3"/>
  <c r="D49" i="3" s="1"/>
  <c r="D7" i="3"/>
  <c r="D68" i="3" s="1"/>
  <c r="D6" i="3"/>
  <c r="D42" i="3" s="1"/>
  <c r="D5" i="3"/>
  <c r="D34" i="3" s="1"/>
  <c r="D4" i="3"/>
  <c r="J4" i="3" s="1"/>
  <c r="J40" i="3" s="1"/>
  <c r="C26" i="3"/>
  <c r="C69" i="3" s="1"/>
  <c r="D31" i="7"/>
  <c r="D30" i="7"/>
  <c r="D29" i="7"/>
  <c r="D28" i="7"/>
  <c r="D27" i="7"/>
  <c r="D26" i="7"/>
  <c r="D25" i="7"/>
  <c r="D24" i="7"/>
  <c r="D23" i="7"/>
  <c r="D22" i="7"/>
  <c r="D21" i="7"/>
  <c r="D20" i="7"/>
  <c r="D19" i="7"/>
  <c r="D18" i="7"/>
  <c r="D17" i="7"/>
  <c r="D16" i="7"/>
  <c r="D15" i="7"/>
  <c r="D14" i="7"/>
  <c r="D13" i="7"/>
  <c r="D12" i="7"/>
  <c r="D11" i="7"/>
  <c r="D10" i="7"/>
  <c r="D9" i="7"/>
  <c r="D8" i="7"/>
  <c r="D7" i="7"/>
  <c r="D6" i="7"/>
  <c r="D5" i="7"/>
  <c r="D4" i="7"/>
  <c r="D3" i="7"/>
  <c r="E24" i="2"/>
  <c r="E23" i="2"/>
  <c r="B15" i="2"/>
  <c r="B14" i="2"/>
  <c r="E28" i="6"/>
  <c r="E4" i="6"/>
  <c r="E25" i="6"/>
  <c r="B15" i="6"/>
  <c r="B14" i="6"/>
  <c r="H11" i="6"/>
  <c r="E3" i="6"/>
  <c r="H26" i="10"/>
  <c r="K25" i="10"/>
  <c r="K51" i="10" s="1"/>
  <c r="L21" i="10"/>
  <c r="L44" i="10" s="1"/>
  <c r="I21" i="10"/>
  <c r="I44" i="10" s="1"/>
  <c r="I19" i="10"/>
  <c r="J14" i="10"/>
  <c r="L11" i="10"/>
  <c r="J11" i="10"/>
  <c r="L9" i="10"/>
  <c r="H7" i="10"/>
  <c r="D32" i="9"/>
  <c r="D37" i="9" s="1"/>
  <c r="C32" i="9"/>
  <c r="D31" i="9"/>
  <c r="C31" i="9"/>
  <c r="D30" i="9"/>
  <c r="D45" i="9" s="1"/>
  <c r="C30" i="9"/>
  <c r="C45" i="9" s="1"/>
  <c r="D29" i="9"/>
  <c r="C29" i="9"/>
  <c r="D28" i="9"/>
  <c r="C28" i="9"/>
  <c r="C38" i="9" s="1"/>
  <c r="D27" i="9"/>
  <c r="E27" i="9" s="1"/>
  <c r="K27" i="9" s="1"/>
  <c r="C27" i="9"/>
  <c r="D26" i="9"/>
  <c r="C26" i="9"/>
  <c r="D25" i="9"/>
  <c r="C25" i="9"/>
  <c r="C51" i="9" s="1"/>
  <c r="D24" i="9"/>
  <c r="C24" i="9"/>
  <c r="D23" i="9"/>
  <c r="C23" i="9"/>
  <c r="D22" i="9"/>
  <c r="C22" i="9"/>
  <c r="D21" i="9"/>
  <c r="D44" i="9" s="1"/>
  <c r="C21" i="9"/>
  <c r="C44" i="9" s="1"/>
  <c r="D20" i="9"/>
  <c r="C20" i="9"/>
  <c r="D19" i="9"/>
  <c r="C19" i="9"/>
  <c r="D18" i="9"/>
  <c r="C18" i="9"/>
  <c r="F18" i="9" s="1"/>
  <c r="D17" i="9"/>
  <c r="D46" i="9" s="1"/>
  <c r="C17" i="9"/>
  <c r="C46" i="9" s="1"/>
  <c r="D16" i="9"/>
  <c r="D36" i="9" s="1"/>
  <c r="C16" i="9"/>
  <c r="D15" i="9"/>
  <c r="D35" i="9" s="1"/>
  <c r="C15" i="9"/>
  <c r="C35" i="9" s="1"/>
  <c r="D14" i="9"/>
  <c r="C14" i="9"/>
  <c r="D13" i="9"/>
  <c r="D41" i="9" s="1"/>
  <c r="C13" i="9"/>
  <c r="C41" i="9" s="1"/>
  <c r="D12" i="9"/>
  <c r="D48" i="9" s="1"/>
  <c r="C12" i="9"/>
  <c r="C48" i="9" s="1"/>
  <c r="C47" i="9" s="1"/>
  <c r="I47" i="9" s="1"/>
  <c r="D11" i="9"/>
  <c r="C11" i="9"/>
  <c r="D10" i="9"/>
  <c r="D43" i="9" s="1"/>
  <c r="C10" i="9"/>
  <c r="C43" i="9" s="1"/>
  <c r="D9" i="9"/>
  <c r="E9" i="9" s="1"/>
  <c r="C9" i="9"/>
  <c r="D8" i="9"/>
  <c r="D49" i="9" s="1"/>
  <c r="C8" i="9"/>
  <c r="C49" i="9" s="1"/>
  <c r="D7" i="9"/>
  <c r="C7" i="9"/>
  <c r="D6" i="9"/>
  <c r="D42" i="9" s="1"/>
  <c r="C6" i="9"/>
  <c r="C42" i="9" s="1"/>
  <c r="D5" i="9"/>
  <c r="D34" i="9" s="1"/>
  <c r="C5" i="9"/>
  <c r="C34" i="9" s="1"/>
  <c r="G27" i="8"/>
  <c r="G22" i="8"/>
  <c r="G16" i="8"/>
  <c r="G36" i="8" s="1"/>
  <c r="J48" i="4"/>
  <c r="G5" i="4"/>
  <c r="G34" i="4" s="1"/>
  <c r="D32" i="15"/>
  <c r="C32" i="15"/>
  <c r="D31" i="15"/>
  <c r="C31" i="15"/>
  <c r="D30" i="15"/>
  <c r="C30" i="15"/>
  <c r="C45" i="15" s="1"/>
  <c r="D29" i="15"/>
  <c r="E29" i="15" s="1"/>
  <c r="C29" i="15"/>
  <c r="D28" i="15"/>
  <c r="E28" i="15" s="1"/>
  <c r="C28" i="15"/>
  <c r="C38" i="15" s="1"/>
  <c r="D27" i="15"/>
  <c r="C27" i="15"/>
  <c r="D26" i="15"/>
  <c r="C26" i="15"/>
  <c r="D25" i="15"/>
  <c r="C25" i="15"/>
  <c r="C51" i="15" s="1"/>
  <c r="D24" i="15"/>
  <c r="C24" i="15"/>
  <c r="C39" i="15" s="1"/>
  <c r="D23" i="15"/>
  <c r="E23" i="15" s="1"/>
  <c r="K23" i="15" s="1"/>
  <c r="C23" i="15"/>
  <c r="D22" i="15"/>
  <c r="C22" i="15"/>
  <c r="F22" i="15" s="1"/>
  <c r="D21" i="15"/>
  <c r="C21" i="15"/>
  <c r="D20" i="15"/>
  <c r="C20" i="15"/>
  <c r="E20" i="15" s="1"/>
  <c r="D19" i="15"/>
  <c r="C19" i="15"/>
  <c r="D18" i="15"/>
  <c r="C18" i="15"/>
  <c r="F18" i="15" s="1"/>
  <c r="D17" i="15"/>
  <c r="C17" i="15"/>
  <c r="D16" i="15"/>
  <c r="C16" i="15"/>
  <c r="D15" i="15"/>
  <c r="C15" i="15"/>
  <c r="F15" i="15" s="1"/>
  <c r="F35" i="15" s="1"/>
  <c r="D14" i="15"/>
  <c r="C14" i="15"/>
  <c r="D13" i="15"/>
  <c r="C13" i="15"/>
  <c r="D12" i="15"/>
  <c r="C12" i="15"/>
  <c r="C48" i="15" s="1"/>
  <c r="D11" i="15"/>
  <c r="C11" i="15"/>
  <c r="D10" i="15"/>
  <c r="E10" i="15" s="1"/>
  <c r="C10" i="15"/>
  <c r="C43" i="15" s="1"/>
  <c r="D9" i="15"/>
  <c r="C9" i="15"/>
  <c r="E9" i="15" s="1"/>
  <c r="D8" i="15"/>
  <c r="D49" i="15" s="1"/>
  <c r="C8" i="15"/>
  <c r="C49" i="15" s="1"/>
  <c r="D7" i="15"/>
  <c r="C7" i="15"/>
  <c r="D6" i="15"/>
  <c r="C6" i="15"/>
  <c r="C42" i="15" s="1"/>
  <c r="D4" i="15"/>
  <c r="D40" i="15" s="1"/>
  <c r="C4" i="15"/>
  <c r="D32" i="12"/>
  <c r="D31" i="12"/>
  <c r="D30" i="12"/>
  <c r="D45" i="12" s="1"/>
  <c r="D29" i="12"/>
  <c r="D28" i="12"/>
  <c r="D27" i="12"/>
  <c r="D26" i="12"/>
  <c r="D25" i="12"/>
  <c r="D24" i="12"/>
  <c r="D39" i="12" s="1"/>
  <c r="D23" i="12"/>
  <c r="D22" i="12"/>
  <c r="D21" i="12"/>
  <c r="D20" i="12"/>
  <c r="D19" i="12"/>
  <c r="D18" i="12"/>
  <c r="G18" i="12" s="1"/>
  <c r="D17" i="12"/>
  <c r="D16" i="12"/>
  <c r="D15" i="12"/>
  <c r="D35" i="12" s="1"/>
  <c r="D14" i="12"/>
  <c r="D13" i="12"/>
  <c r="D41" i="12" s="1"/>
  <c r="D12" i="12"/>
  <c r="D48" i="12" s="1"/>
  <c r="D11" i="12"/>
  <c r="D10" i="12"/>
  <c r="D9" i="12"/>
  <c r="D8" i="12"/>
  <c r="D7" i="12"/>
  <c r="D6" i="12"/>
  <c r="G6" i="12" s="1"/>
  <c r="G42" i="12" s="1"/>
  <c r="D4" i="12"/>
  <c r="D40" i="12" s="1"/>
  <c r="C5" i="15"/>
  <c r="C34" i="15" s="1"/>
  <c r="D5" i="15"/>
  <c r="D34" i="15" s="1"/>
  <c r="D5" i="12"/>
  <c r="D34" i="12" s="1"/>
  <c r="D4" i="9"/>
  <c r="D40" i="9" s="1"/>
  <c r="C4" i="9"/>
  <c r="C40" i="9" s="1"/>
  <c r="G31" i="9"/>
  <c r="G23" i="9"/>
  <c r="F30" i="9"/>
  <c r="F45" i="9" s="1"/>
  <c r="F26" i="9"/>
  <c r="F13" i="9"/>
  <c r="F41" i="9" s="1"/>
  <c r="G17" i="9"/>
  <c r="G46" i="9" s="1"/>
  <c r="G19" i="9"/>
  <c r="G14" i="9"/>
  <c r="F16" i="9"/>
  <c r="F36" i="9" s="1"/>
  <c r="F20" i="9"/>
  <c r="F21" i="9"/>
  <c r="F44" i="9" s="1"/>
  <c r="G29" i="9"/>
  <c r="F25" i="9"/>
  <c r="F51" i="9" s="1"/>
  <c r="G26" i="4"/>
  <c r="G69" i="4" s="1"/>
  <c r="G15" i="4"/>
  <c r="G35" i="4" s="1"/>
  <c r="G16" i="9"/>
  <c r="G36" i="9" s="1"/>
  <c r="G20" i="9"/>
  <c r="F14" i="9"/>
  <c r="F28" i="9"/>
  <c r="F38" i="9" s="1"/>
  <c r="F9" i="9"/>
  <c r="G30" i="4"/>
  <c r="G45" i="4" s="1"/>
  <c r="G24" i="4"/>
  <c r="G39" i="4" s="1"/>
  <c r="L15" i="10"/>
  <c r="L35" i="10" s="1"/>
  <c r="F11" i="9"/>
  <c r="I5" i="13"/>
  <c r="I34" i="13" s="1"/>
  <c r="G10" i="8"/>
  <c r="G43" i="8" s="1"/>
  <c r="H17" i="10"/>
  <c r="H46" i="10" s="1"/>
  <c r="G17" i="8"/>
  <c r="G46" i="8" s="1"/>
  <c r="J25" i="10"/>
  <c r="J51" i="10" s="1"/>
  <c r="G14" i="8"/>
  <c r="K18" i="10"/>
  <c r="G18" i="8"/>
  <c r="H32" i="10"/>
  <c r="H37" i="10" s="1"/>
  <c r="G32" i="8"/>
  <c r="G37" i="8" s="1"/>
  <c r="K22" i="10"/>
  <c r="J28" i="10"/>
  <c r="J38" i="10" s="1"/>
  <c r="J29" i="10"/>
  <c r="I30" i="10"/>
  <c r="I45" i="10" s="1"/>
  <c r="K30" i="10"/>
  <c r="K45" i="10" s="1"/>
  <c r="G8" i="8"/>
  <c r="G49" i="8" s="1"/>
  <c r="H13" i="10"/>
  <c r="H41" i="10" s="1"/>
  <c r="H11" i="10"/>
  <c r="I26" i="10"/>
  <c r="K26" i="10"/>
  <c r="L17" i="10"/>
  <c r="L46" i="10" s="1"/>
  <c r="H19" i="10"/>
  <c r="G19" i="8"/>
  <c r="I20" i="10"/>
  <c r="I31" i="10"/>
  <c r="J4" i="10"/>
  <c r="J40" i="10" s="1"/>
  <c r="H4" i="10"/>
  <c r="H40" i="10" s="1"/>
  <c r="I14" i="10"/>
  <c r="H18" i="10"/>
  <c r="L32" i="10"/>
  <c r="L37" i="10" s="1"/>
  <c r="J6" i="10"/>
  <c r="J42" i="10" s="1"/>
  <c r="I16" i="10"/>
  <c r="I36" i="10" s="1"/>
  <c r="L23" i="10"/>
  <c r="I22" i="10"/>
  <c r="G28" i="8"/>
  <c r="G38" i="8" s="1"/>
  <c r="I29" i="10"/>
  <c r="K29" i="10"/>
  <c r="G5" i="8"/>
  <c r="G34" i="8" s="1"/>
  <c r="J5" i="16"/>
  <c r="J34" i="16" s="1"/>
  <c r="J5" i="10"/>
  <c r="J34" i="10" s="1"/>
  <c r="I5" i="16"/>
  <c r="I34" i="16" s="1"/>
  <c r="L12" i="10"/>
  <c r="L48" i="10" s="1"/>
  <c r="J15" i="10"/>
  <c r="J35" i="10" s="1"/>
  <c r="G15" i="8"/>
  <c r="G35" i="8" s="1"/>
  <c r="G24" i="8"/>
  <c r="G39" i="8" s="1"/>
  <c r="K27" i="10"/>
  <c r="L19" i="10"/>
  <c r="J20" i="10"/>
  <c r="H20" i="10"/>
  <c r="K31" i="10"/>
  <c r="H14" i="10"/>
  <c r="L18" i="10"/>
  <c r="J18" i="10"/>
  <c r="K32" i="10"/>
  <c r="K37" i="10" s="1"/>
  <c r="I32" i="10"/>
  <c r="I37" i="10" s="1"/>
  <c r="L6" i="10"/>
  <c r="L42" i="10" s="1"/>
  <c r="H16" i="10"/>
  <c r="H36" i="10" s="1"/>
  <c r="I23" i="10"/>
  <c r="H22" i="10"/>
  <c r="J22" i="10"/>
  <c r="I28" i="10"/>
  <c r="I38" i="10" s="1"/>
  <c r="H29" i="10"/>
  <c r="G29" i="8"/>
  <c r="L30" i="10"/>
  <c r="L45" i="10" s="1"/>
  <c r="J30" i="10"/>
  <c r="J45" i="10" s="1"/>
  <c r="L8" i="10"/>
  <c r="L49" i="10" s="1"/>
  <c r="I13" i="10"/>
  <c r="I41" i="10" s="1"/>
  <c r="I9" i="10"/>
  <c r="G11" i="8"/>
  <c r="K5" i="10"/>
  <c r="K34" i="10" s="1"/>
  <c r="K15" i="10"/>
  <c r="K35" i="10" s="1"/>
  <c r="H21" i="10"/>
  <c r="H44" i="10" s="1"/>
  <c r="J21" i="10"/>
  <c r="J44" i="10" s="1"/>
  <c r="G21" i="8"/>
  <c r="G44" i="8" s="1"/>
  <c r="L24" i="10"/>
  <c r="L39" i="10" s="1"/>
  <c r="L26" i="10"/>
  <c r="J26" i="10"/>
  <c r="L7" i="10"/>
  <c r="I17" i="10"/>
  <c r="I46" i="10" s="1"/>
  <c r="K17" i="10"/>
  <c r="K46" i="10" s="1"/>
  <c r="L20" i="10"/>
  <c r="I25" i="10"/>
  <c r="I51" i="10" s="1"/>
  <c r="H25" i="10"/>
  <c r="H51" i="10" s="1"/>
  <c r="G25" i="8"/>
  <c r="G51" i="8" s="1"/>
  <c r="H31" i="10"/>
  <c r="J31" i="10"/>
  <c r="L14" i="10"/>
  <c r="J16" i="10"/>
  <c r="J36" i="10" s="1"/>
  <c r="L16" i="10"/>
  <c r="L36" i="10" s="1"/>
  <c r="G23" i="8"/>
  <c r="L22" i="10"/>
  <c r="K28" i="10"/>
  <c r="K38" i="10" s="1"/>
  <c r="L29" i="10"/>
  <c r="G30" i="8"/>
  <c r="G45" i="8" s="1"/>
  <c r="K13" i="10"/>
  <c r="K41" i="10" s="1"/>
  <c r="G9" i="8"/>
  <c r="I11" i="10"/>
  <c r="K11" i="10"/>
  <c r="G4" i="4"/>
  <c r="G40" i="4" s="1"/>
  <c r="F19" i="9"/>
  <c r="F29" i="9"/>
  <c r="G6" i="9"/>
  <c r="G42" i="9" s="1"/>
  <c r="G22" i="4"/>
  <c r="G72" i="4" s="1"/>
  <c r="F4" i="9"/>
  <c r="F40" i="9" s="1"/>
  <c r="K24" i="10"/>
  <c r="K39" i="10" s="1"/>
  <c r="L10" i="10"/>
  <c r="L43" i="10" s="1"/>
  <c r="G13" i="9"/>
  <c r="G41" i="9" s="1"/>
  <c r="H41" i="9" s="1"/>
  <c r="F6" i="9"/>
  <c r="F42" i="9" s="1"/>
  <c r="L27" i="10"/>
  <c r="N5" i="19"/>
  <c r="J5" i="13"/>
  <c r="J34" i="13" s="1"/>
  <c r="P5" i="19"/>
  <c r="G7" i="8"/>
  <c r="G31" i="8"/>
  <c r="G14" i="4"/>
  <c r="G77" i="4" s="1"/>
  <c r="H15" i="10"/>
  <c r="H35" i="10" s="1"/>
  <c r="G9" i="4"/>
  <c r="G75" i="4" s="1"/>
  <c r="E12" i="15"/>
  <c r="E30" i="15"/>
  <c r="K30" i="15" s="1"/>
  <c r="K45" i="15" s="1"/>
  <c r="K21" i="10"/>
  <c r="K44" i="10" s="1"/>
  <c r="G26" i="8"/>
  <c r="E24" i="15"/>
  <c r="K24" i="15" s="1"/>
  <c r="K39" i="15" s="1"/>
  <c r="E16" i="15"/>
  <c r="K16" i="15" s="1"/>
  <c r="K36" i="15" s="1"/>
  <c r="E18" i="15"/>
  <c r="K18" i="15" s="1"/>
  <c r="E19" i="15"/>
  <c r="E21" i="15"/>
  <c r="E27" i="15"/>
  <c r="K27" i="15" s="1"/>
  <c r="N12" i="19"/>
  <c r="I12" i="13"/>
  <c r="I48" i="13" s="1"/>
  <c r="P12" i="19"/>
  <c r="K12" i="13"/>
  <c r="K48" i="13" s="1"/>
  <c r="L12" i="16"/>
  <c r="L48" i="16" s="1"/>
  <c r="H14" i="13"/>
  <c r="L14" i="16"/>
  <c r="I18" i="13"/>
  <c r="L26" i="13"/>
  <c r="H26" i="16"/>
  <c r="I28" i="16"/>
  <c r="I38" i="16" s="1"/>
  <c r="H31" i="13"/>
  <c r="I31" i="16"/>
  <c r="K32" i="16"/>
  <c r="K37" i="16" s="1"/>
  <c r="J4" i="13"/>
  <c r="J40" i="13" s="1"/>
  <c r="J4" i="16"/>
  <c r="J40" i="16" s="1"/>
  <c r="K7" i="16"/>
  <c r="I10" i="13"/>
  <c r="I43" i="13" s="1"/>
  <c r="L20" i="13"/>
  <c r="L20" i="16"/>
  <c r="H24" i="16"/>
  <c r="H39" i="16" s="1"/>
  <c r="P6" i="19"/>
  <c r="K6" i="13"/>
  <c r="K42" i="13" s="1"/>
  <c r="J6" i="16"/>
  <c r="J42" i="16" s="1"/>
  <c r="N11" i="19"/>
  <c r="I11" i="13"/>
  <c r="J15" i="13"/>
  <c r="J35" i="13" s="1"/>
  <c r="I15" i="16"/>
  <c r="I35" i="16" s="1"/>
  <c r="J16" i="13"/>
  <c r="J36" i="13" s="1"/>
  <c r="I16" i="16"/>
  <c r="I36" i="16" s="1"/>
  <c r="J21" i="13"/>
  <c r="J44" i="13" s="1"/>
  <c r="H21" i="13"/>
  <c r="H44" i="13" s="1"/>
  <c r="I21" i="16"/>
  <c r="I44" i="16" s="1"/>
  <c r="I25" i="13"/>
  <c r="I51" i="13" s="1"/>
  <c r="P25" i="19"/>
  <c r="K25" i="13"/>
  <c r="K51" i="13" s="1"/>
  <c r="H25" i="16"/>
  <c r="H51" i="16" s="1"/>
  <c r="M8" i="19"/>
  <c r="L17" i="16"/>
  <c r="L46" i="16" s="1"/>
  <c r="P19" i="19"/>
  <c r="K19" i="13"/>
  <c r="Q19" i="19"/>
  <c r="L19" i="13"/>
  <c r="I19" i="16"/>
  <c r="K19" i="16"/>
  <c r="P22" i="19"/>
  <c r="K22" i="13"/>
  <c r="Q22" i="19"/>
  <c r="L22" i="13"/>
  <c r="J22" i="16"/>
  <c r="I22" i="16"/>
  <c r="O23" i="19"/>
  <c r="J23" i="13"/>
  <c r="L23" i="16"/>
  <c r="I27" i="13"/>
  <c r="I27" i="16"/>
  <c r="H29" i="13"/>
  <c r="L29" i="16"/>
  <c r="P30" i="19"/>
  <c r="K30" i="13"/>
  <c r="K45" i="13" s="1"/>
  <c r="J30" i="13"/>
  <c r="J45" i="13" s="1"/>
  <c r="J30" i="16"/>
  <c r="J45" i="16" s="1"/>
  <c r="J12" i="16"/>
  <c r="J48" i="16" s="1"/>
  <c r="N14" i="19"/>
  <c r="I14" i="13"/>
  <c r="L14" i="13"/>
  <c r="I14" i="16"/>
  <c r="J18" i="13"/>
  <c r="H18" i="16"/>
  <c r="J18" i="16"/>
  <c r="P26" i="19"/>
  <c r="K26" i="13"/>
  <c r="J26" i="13"/>
  <c r="L26" i="16"/>
  <c r="I28" i="13"/>
  <c r="I38" i="13" s="1"/>
  <c r="J28" i="16"/>
  <c r="J38" i="16" s="1"/>
  <c r="J31" i="13"/>
  <c r="I31" i="13"/>
  <c r="K31" i="16"/>
  <c r="J31" i="16"/>
  <c r="N32" i="19"/>
  <c r="I32" i="13"/>
  <c r="I37" i="13" s="1"/>
  <c r="M32" i="19"/>
  <c r="H32" i="13"/>
  <c r="H37" i="13" s="1"/>
  <c r="H32" i="16"/>
  <c r="H37" i="16" s="1"/>
  <c r="P4" i="19"/>
  <c r="K4" i="13"/>
  <c r="K40" i="13" s="1"/>
  <c r="H4" i="16"/>
  <c r="H40" i="16" s="1"/>
  <c r="O9" i="19"/>
  <c r="J9" i="13"/>
  <c r="M10" i="19"/>
  <c r="H10" i="13"/>
  <c r="H43" i="13" s="1"/>
  <c r="L10" i="16"/>
  <c r="L43" i="16" s="1"/>
  <c r="M13" i="19"/>
  <c r="H13" i="13"/>
  <c r="H41" i="13" s="1"/>
  <c r="M20" i="19"/>
  <c r="H20" i="13"/>
  <c r="I20" i="16"/>
  <c r="I24" i="13"/>
  <c r="I39" i="13" s="1"/>
  <c r="M24" i="19"/>
  <c r="H24" i="13"/>
  <c r="H39" i="13" s="1"/>
  <c r="L24" i="16"/>
  <c r="L39" i="16" s="1"/>
  <c r="N6" i="19"/>
  <c r="I6" i="13"/>
  <c r="I42" i="13" s="1"/>
  <c r="K6" i="16"/>
  <c r="K42" i="16" s="1"/>
  <c r="M11" i="19"/>
  <c r="H11" i="13"/>
  <c r="K11" i="16"/>
  <c r="P15" i="19"/>
  <c r="K15" i="13"/>
  <c r="K35" i="13" s="1"/>
  <c r="K15" i="16"/>
  <c r="K35" i="16" s="1"/>
  <c r="P16" i="19"/>
  <c r="K16" i="13"/>
  <c r="K36" i="13" s="1"/>
  <c r="K16" i="16"/>
  <c r="K36" i="16" s="1"/>
  <c r="P21" i="19"/>
  <c r="K21" i="13"/>
  <c r="K44" i="13" s="1"/>
  <c r="N21" i="19"/>
  <c r="I21" i="13"/>
  <c r="I44" i="13" s="1"/>
  <c r="K21" i="16"/>
  <c r="K44" i="16" s="1"/>
  <c r="J21" i="16"/>
  <c r="J44" i="16" s="1"/>
  <c r="J25" i="13"/>
  <c r="J51" i="13" s="1"/>
  <c r="I25" i="16"/>
  <c r="I51" i="16" s="1"/>
  <c r="L25" i="16"/>
  <c r="L51" i="16" s="1"/>
  <c r="O8" i="19"/>
  <c r="J8" i="13"/>
  <c r="J49" i="13" s="1"/>
  <c r="Q8" i="19"/>
  <c r="L8" i="13"/>
  <c r="L49" i="13" s="1"/>
  <c r="N17" i="19"/>
  <c r="I17" i="13"/>
  <c r="I46" i="13" s="1"/>
  <c r="M17" i="19"/>
  <c r="H17" i="13"/>
  <c r="H46" i="13" s="1"/>
  <c r="J17" i="16"/>
  <c r="J46" i="16" s="1"/>
  <c r="N19" i="19"/>
  <c r="I19" i="13"/>
  <c r="H19" i="16"/>
  <c r="N22" i="19"/>
  <c r="I22" i="13"/>
  <c r="K22" i="16"/>
  <c r="P23" i="19"/>
  <c r="K23" i="13"/>
  <c r="N23" i="19"/>
  <c r="I23" i="13"/>
  <c r="I23" i="16"/>
  <c r="Q27" i="19"/>
  <c r="L27" i="13"/>
  <c r="P27" i="19"/>
  <c r="K27" i="13"/>
  <c r="K27" i="16"/>
  <c r="J27" i="16"/>
  <c r="Q29" i="19"/>
  <c r="L29" i="13"/>
  <c r="I29" i="16"/>
  <c r="N30" i="19"/>
  <c r="I30" i="13"/>
  <c r="I45" i="13" s="1"/>
  <c r="H30" i="16"/>
  <c r="H45" i="16" s="1"/>
  <c r="K30" i="16"/>
  <c r="K45" i="16" s="1"/>
  <c r="H12" i="13"/>
  <c r="H48" i="13" s="1"/>
  <c r="O12" i="19"/>
  <c r="J12" i="13"/>
  <c r="J48" i="13" s="1"/>
  <c r="K12" i="16"/>
  <c r="K48" i="16" s="1"/>
  <c r="O14" i="19"/>
  <c r="J14" i="13"/>
  <c r="K14" i="16"/>
  <c r="J14" i="16"/>
  <c r="Q18" i="19"/>
  <c r="L18" i="13"/>
  <c r="L18" i="16"/>
  <c r="N26" i="19"/>
  <c r="I26" i="13"/>
  <c r="J26" i="16"/>
  <c r="I26" i="16"/>
  <c r="P28" i="19"/>
  <c r="K28" i="13"/>
  <c r="K38" i="13" s="1"/>
  <c r="O28" i="19"/>
  <c r="J28" i="13"/>
  <c r="J38" i="13" s="1"/>
  <c r="H28" i="16"/>
  <c r="H38" i="16" s="1"/>
  <c r="K28" i="16"/>
  <c r="K38" i="16" s="1"/>
  <c r="Q31" i="19"/>
  <c r="L31" i="13"/>
  <c r="H31" i="16"/>
  <c r="P32" i="19"/>
  <c r="K32" i="13"/>
  <c r="K37" i="13" s="1"/>
  <c r="Q32" i="19"/>
  <c r="L32" i="13"/>
  <c r="L37" i="13" s="1"/>
  <c r="I32" i="16"/>
  <c r="I37" i="16" s="1"/>
  <c r="L32" i="16"/>
  <c r="L37" i="16" s="1"/>
  <c r="M4" i="19"/>
  <c r="H4" i="13"/>
  <c r="H40" i="13" s="1"/>
  <c r="L4" i="16"/>
  <c r="L40" i="16" s="1"/>
  <c r="L7" i="16"/>
  <c r="L9" i="16"/>
  <c r="Q10" i="19"/>
  <c r="L10" i="13"/>
  <c r="L43" i="13" s="1"/>
  <c r="O10" i="19"/>
  <c r="J10" i="13"/>
  <c r="J43" i="13" s="1"/>
  <c r="Q13" i="19"/>
  <c r="L13" i="13"/>
  <c r="L41" i="13" s="1"/>
  <c r="I13" i="16"/>
  <c r="I41" i="16" s="1"/>
  <c r="O20" i="19"/>
  <c r="J20" i="13"/>
  <c r="N20" i="19"/>
  <c r="I20" i="13"/>
  <c r="K20" i="16"/>
  <c r="J20" i="16"/>
  <c r="J24" i="13"/>
  <c r="J39" i="13" s="1"/>
  <c r="Q24" i="19"/>
  <c r="L24" i="13"/>
  <c r="L39" i="13" s="1"/>
  <c r="J24" i="16"/>
  <c r="J39" i="16" s="1"/>
  <c r="I24" i="16"/>
  <c r="I39" i="16" s="1"/>
  <c r="H6" i="16"/>
  <c r="H42" i="16" s="1"/>
  <c r="H11" i="16"/>
  <c r="Q15" i="19"/>
  <c r="L15" i="13"/>
  <c r="L35" i="13" s="1"/>
  <c r="H15" i="16"/>
  <c r="H35" i="16" s="1"/>
  <c r="Q16" i="19"/>
  <c r="L16" i="13"/>
  <c r="L36" i="13" s="1"/>
  <c r="I16" i="13"/>
  <c r="I36" i="13" s="1"/>
  <c r="H16" i="16"/>
  <c r="H36" i="16" s="1"/>
  <c r="Q21" i="19"/>
  <c r="L21" i="13"/>
  <c r="L44" i="13" s="1"/>
  <c r="H21" i="16"/>
  <c r="H44" i="16" s="1"/>
  <c r="Q25" i="19"/>
  <c r="L25" i="13"/>
  <c r="L51" i="13" s="1"/>
  <c r="J25" i="16"/>
  <c r="J51" i="16" s="1"/>
  <c r="P8" i="19"/>
  <c r="K8" i="13"/>
  <c r="K49" i="13" s="1"/>
  <c r="H8" i="16"/>
  <c r="H49" i="16" s="1"/>
  <c r="O17" i="19"/>
  <c r="J17" i="13"/>
  <c r="J46" i="13" s="1"/>
  <c r="Q17" i="19"/>
  <c r="L17" i="13"/>
  <c r="L46" i="13" s="1"/>
  <c r="I17" i="16"/>
  <c r="I46" i="16" s="1"/>
  <c r="K17" i="16"/>
  <c r="K46" i="16" s="1"/>
  <c r="L19" i="16"/>
  <c r="H22" i="16"/>
  <c r="Q23" i="19"/>
  <c r="L23" i="13"/>
  <c r="K23" i="16"/>
  <c r="J23" i="16"/>
  <c r="M27" i="19"/>
  <c r="H27" i="13"/>
  <c r="H27" i="16"/>
  <c r="N29" i="19"/>
  <c r="I29" i="13"/>
  <c r="J29" i="16"/>
  <c r="M30" i="19"/>
  <c r="H30" i="13"/>
  <c r="H45" i="13" s="1"/>
  <c r="L30" i="16"/>
  <c r="L45" i="16" s="1"/>
  <c r="Q12" i="19"/>
  <c r="L12" i="13"/>
  <c r="L48" i="13" s="1"/>
  <c r="P14" i="19"/>
  <c r="K14" i="13"/>
  <c r="H14" i="16"/>
  <c r="M18" i="19"/>
  <c r="H18" i="13"/>
  <c r="K18" i="16"/>
  <c r="H26" i="13"/>
  <c r="K26" i="16"/>
  <c r="M28" i="19"/>
  <c r="H28" i="13"/>
  <c r="H38" i="13" s="1"/>
  <c r="L28" i="16"/>
  <c r="L38" i="16" s="1"/>
  <c r="P31" i="19"/>
  <c r="K31" i="13"/>
  <c r="L31" i="16"/>
  <c r="J32" i="13"/>
  <c r="J37" i="13" s="1"/>
  <c r="J32" i="16"/>
  <c r="J37" i="16" s="1"/>
  <c r="N4" i="19"/>
  <c r="I4" i="13"/>
  <c r="I40" i="13" s="1"/>
  <c r="L4" i="13"/>
  <c r="L40" i="13" s="1"/>
  <c r="I4" i="16"/>
  <c r="I40" i="16" s="1"/>
  <c r="I7" i="16"/>
  <c r="N9" i="19"/>
  <c r="I9" i="13"/>
  <c r="P9" i="19"/>
  <c r="K9" i="13"/>
  <c r="J9" i="16"/>
  <c r="P10" i="19"/>
  <c r="K10" i="13"/>
  <c r="K43" i="13" s="1"/>
  <c r="J10" i="16"/>
  <c r="J43" i="16" s="1"/>
  <c r="P13" i="19"/>
  <c r="K13" i="13"/>
  <c r="K41" i="13" s="1"/>
  <c r="J13" i="16"/>
  <c r="J41" i="16" s="1"/>
  <c r="P20" i="19"/>
  <c r="K20" i="13"/>
  <c r="H20" i="16"/>
  <c r="P24" i="19"/>
  <c r="K24" i="13"/>
  <c r="K39" i="13" s="1"/>
  <c r="K24" i="16"/>
  <c r="K39" i="16" s="1"/>
  <c r="Q6" i="19"/>
  <c r="L6" i="13"/>
  <c r="L42" i="13" s="1"/>
  <c r="J6" i="13"/>
  <c r="J42" i="13" s="1"/>
  <c r="I6" i="16"/>
  <c r="I42" i="16" s="1"/>
  <c r="I11" i="16"/>
  <c r="L11" i="16"/>
  <c r="M15" i="19"/>
  <c r="H15" i="13"/>
  <c r="H35" i="13" s="1"/>
  <c r="N15" i="19"/>
  <c r="I15" i="13"/>
  <c r="I35" i="13" s="1"/>
  <c r="J15" i="16"/>
  <c r="J35" i="16" s="1"/>
  <c r="L15" i="16"/>
  <c r="L35" i="16" s="1"/>
  <c r="M16" i="19"/>
  <c r="H16" i="13"/>
  <c r="H36" i="13" s="1"/>
  <c r="J16" i="16"/>
  <c r="J36" i="16" s="1"/>
  <c r="L16" i="16"/>
  <c r="L36" i="16" s="1"/>
  <c r="L21" i="16"/>
  <c r="L44" i="16" s="1"/>
  <c r="M25" i="19"/>
  <c r="H25" i="13"/>
  <c r="H51" i="13" s="1"/>
  <c r="K25" i="16"/>
  <c r="K51" i="16" s="1"/>
  <c r="N8" i="19"/>
  <c r="I8" i="13"/>
  <c r="I49" i="13" s="1"/>
  <c r="L8" i="16"/>
  <c r="L49" i="16" s="1"/>
  <c r="P17" i="19"/>
  <c r="K17" i="13"/>
  <c r="K46" i="13" s="1"/>
  <c r="H17" i="16"/>
  <c r="H46" i="16" s="1"/>
  <c r="O19" i="19"/>
  <c r="J19" i="13"/>
  <c r="M19" i="19"/>
  <c r="H19" i="13"/>
  <c r="J19" i="16"/>
  <c r="O22" i="19"/>
  <c r="J22" i="13"/>
  <c r="M22" i="19"/>
  <c r="H22" i="13"/>
  <c r="L22" i="16"/>
  <c r="M23" i="19"/>
  <c r="H23" i="13"/>
  <c r="H23" i="16"/>
  <c r="O27" i="19"/>
  <c r="J27" i="13"/>
  <c r="L27" i="16"/>
  <c r="P29" i="19"/>
  <c r="K29" i="13"/>
  <c r="O29" i="19"/>
  <c r="J29" i="13"/>
  <c r="H29" i="16"/>
  <c r="K29" i="16"/>
  <c r="Q30" i="19"/>
  <c r="L30" i="13"/>
  <c r="L45" i="13" s="1"/>
  <c r="I30" i="16"/>
  <c r="I45" i="16" s="1"/>
  <c r="H24" i="15"/>
  <c r="H27" i="15"/>
  <c r="M21" i="19"/>
  <c r="N31" i="19"/>
  <c r="N27" i="19"/>
  <c r="O16" i="19"/>
  <c r="N18" i="19"/>
  <c r="M14" i="19"/>
  <c r="O25" i="19"/>
  <c r="Q14" i="19"/>
  <c r="M29" i="19"/>
  <c r="O4" i="19"/>
  <c r="Q9" i="19"/>
  <c r="N28" i="19"/>
  <c r="O26" i="19"/>
  <c r="O18" i="19"/>
  <c r="N25" i="19"/>
  <c r="O21" i="19"/>
  <c r="O15" i="19"/>
  <c r="Q20" i="19"/>
  <c r="N10" i="19"/>
  <c r="M31" i="19"/>
  <c r="K4" i="16"/>
  <c r="K40" i="16" s="1"/>
  <c r="H7" i="16"/>
  <c r="I12" i="16"/>
  <c r="I48" i="16" s="1"/>
  <c r="K13" i="16"/>
  <c r="K41" i="16" s="1"/>
  <c r="I18" i="16"/>
  <c r="O5" i="19"/>
  <c r="H13" i="16"/>
  <c r="H41" i="16" s="1"/>
  <c r="H5" i="16"/>
  <c r="H34" i="16" s="1"/>
  <c r="I8" i="16"/>
  <c r="I49" i="16" s="1"/>
  <c r="J11" i="16"/>
  <c r="J7" i="16"/>
  <c r="L5" i="16"/>
  <c r="L34" i="16" s="1"/>
  <c r="I6" i="18"/>
  <c r="I5" i="18"/>
  <c r="I13" i="18"/>
  <c r="I8" i="18"/>
  <c r="I10" i="18"/>
  <c r="I4" i="18"/>
  <c r="I12" i="18"/>
  <c r="H9" i="13"/>
  <c r="H5" i="13"/>
  <c r="H34" i="13" s="1"/>
  <c r="M5" i="19"/>
  <c r="M12" i="19"/>
  <c r="H8" i="13"/>
  <c r="H49" i="13" s="1"/>
  <c r="H5" i="10"/>
  <c r="H34" i="10" s="1"/>
  <c r="I6" i="10"/>
  <c r="I42" i="10" s="1"/>
  <c r="K16" i="10"/>
  <c r="K36" i="10" s="1"/>
  <c r="J17" i="10"/>
  <c r="J46" i="10" s="1"/>
  <c r="I18" i="10"/>
  <c r="J19" i="10"/>
  <c r="K20" i="10"/>
  <c r="K23" i="10"/>
  <c r="J24" i="10"/>
  <c r="J39" i="10" s="1"/>
  <c r="I27" i="10"/>
  <c r="H28" i="10"/>
  <c r="H38" i="10" s="1"/>
  <c r="J32" i="10"/>
  <c r="J37" i="10" s="1"/>
  <c r="F8" i="9"/>
  <c r="F49" i="9" s="1"/>
  <c r="E11" i="9"/>
  <c r="K11" i="9" s="1"/>
  <c r="F12" i="9"/>
  <c r="F48" i="9" s="1"/>
  <c r="G10" i="9"/>
  <c r="G43" i="9" s="1"/>
  <c r="G5" i="12"/>
  <c r="G34" i="12" s="1"/>
  <c r="O24" i="19"/>
  <c r="O30" i="19"/>
  <c r="Q5" i="19"/>
  <c r="L5" i="13"/>
  <c r="L34" i="13" s="1"/>
  <c r="Q7" i="19"/>
  <c r="L7" i="13"/>
  <c r="P18" i="19"/>
  <c r="K18" i="13"/>
  <c r="Q26" i="19"/>
  <c r="Q28" i="19"/>
  <c r="L28" i="13"/>
  <c r="L38" i="13" s="1"/>
  <c r="N24" i="19"/>
  <c r="G13" i="12"/>
  <c r="G41" i="12" s="1"/>
  <c r="I30" i="18"/>
  <c r="I5" i="10"/>
  <c r="I34" i="10" s="1"/>
  <c r="K7" i="10"/>
  <c r="H12" i="10"/>
  <c r="H48" i="10" s="1"/>
  <c r="K14" i="10"/>
  <c r="K19" i="10"/>
  <c r="J8" i="10"/>
  <c r="J49" i="10" s="1"/>
  <c r="H6" i="10"/>
  <c r="H42" i="10" s="1"/>
  <c r="I24" i="10"/>
  <c r="I39" i="10" s="1"/>
  <c r="L25" i="10"/>
  <c r="L51" i="10" s="1"/>
  <c r="H27" i="10"/>
  <c r="L31" i="10"/>
  <c r="H23" i="10"/>
  <c r="G12" i="9"/>
  <c r="G48" i="9" s="1"/>
  <c r="G6" i="8"/>
  <c r="G42" i="8" s="1"/>
  <c r="G12" i="8"/>
  <c r="G48" i="8" s="1"/>
  <c r="G47" i="8" s="1"/>
  <c r="G20" i="8"/>
  <c r="G10" i="4"/>
  <c r="G43" i="4" s="1"/>
  <c r="G12" i="4"/>
  <c r="G48" i="4" s="1"/>
  <c r="G23" i="4"/>
  <c r="G67" i="4" s="1"/>
  <c r="J43" i="4"/>
  <c r="G31" i="4"/>
  <c r="G73" i="4" s="1"/>
  <c r="G6" i="4"/>
  <c r="G42" i="4" s="1"/>
  <c r="G12" i="12"/>
  <c r="G48" i="12" s="1"/>
  <c r="I18" i="18"/>
  <c r="I24" i="18"/>
  <c r="G24" i="12"/>
  <c r="G39" i="12" s="1"/>
  <c r="I28" i="18"/>
  <c r="I29" i="18"/>
  <c r="G13" i="4"/>
  <c r="G41" i="4" s="1"/>
  <c r="M26" i="19"/>
  <c r="L28" i="10"/>
  <c r="L38" i="10" s="1"/>
  <c r="H30" i="10"/>
  <c r="H45" i="10" s="1"/>
  <c r="K5" i="13"/>
  <c r="K34" i="13" s="1"/>
  <c r="O31" i="19"/>
  <c r="N16" i="19"/>
  <c r="I4" i="10"/>
  <c r="I40" i="10" s="1"/>
  <c r="L13" i="16"/>
  <c r="L41" i="16" s="1"/>
  <c r="H18" i="15"/>
  <c r="G10" i="12"/>
  <c r="G43" i="12" s="1"/>
  <c r="F4" i="15"/>
  <c r="F40" i="15" s="1"/>
  <c r="G6" i="15"/>
  <c r="G42" i="15" s="1"/>
  <c r="F10" i="15"/>
  <c r="F43" i="15" s="1"/>
  <c r="F17" i="15"/>
  <c r="F46" i="15" s="1"/>
  <c r="E5" i="15"/>
  <c r="F31" i="15"/>
  <c r="E32" i="15"/>
  <c r="K32" i="15" s="1"/>
  <c r="K37" i="15" s="1"/>
  <c r="O32" i="19"/>
  <c r="E17" i="9"/>
  <c r="E25" i="9"/>
  <c r="K10" i="16"/>
  <c r="K43" i="16" s="1"/>
  <c r="E5" i="9"/>
  <c r="E22" i="9"/>
  <c r="K22" i="9" s="1"/>
  <c r="E24" i="9"/>
  <c r="E29" i="9"/>
  <c r="K29" i="9" s="1"/>
  <c r="E30" i="9"/>
  <c r="K30" i="9" s="1"/>
  <c r="K45" i="9" s="1"/>
  <c r="E20" i="9"/>
  <c r="K20" i="9" s="1"/>
  <c r="E31" i="9"/>
  <c r="K31" i="9" s="1"/>
  <c r="E12" i="9"/>
  <c r="E14" i="9"/>
  <c r="E8" i="9"/>
  <c r="K8" i="9" s="1"/>
  <c r="K49" i="9" s="1"/>
  <c r="E19" i="9"/>
  <c r="K19" i="9" s="1"/>
  <c r="E16" i="9"/>
  <c r="K16" i="9" s="1"/>
  <c r="K36" i="9" s="1"/>
  <c r="E23" i="9"/>
  <c r="E32" i="9"/>
  <c r="F16" i="4"/>
  <c r="F36" i="4" s="1"/>
  <c r="F15" i="4"/>
  <c r="F35" i="4" s="1"/>
  <c r="E6" i="9"/>
  <c r="E13" i="9"/>
  <c r="E10" i="9"/>
  <c r="E18" i="9"/>
  <c r="K18" i="9" s="1"/>
  <c r="E28" i="9"/>
  <c r="K28" i="9" s="1"/>
  <c r="K38" i="9" s="1"/>
  <c r="L5" i="10"/>
  <c r="L34" i="10" s="1"/>
  <c r="E20" i="8"/>
  <c r="K20" i="8" s="1"/>
  <c r="F20" i="8"/>
  <c r="E29" i="8"/>
  <c r="K29" i="8" s="1"/>
  <c r="F29" i="8"/>
  <c r="F7" i="4"/>
  <c r="F68" i="4" s="1"/>
  <c r="F8" i="4"/>
  <c r="F49" i="4" s="1"/>
  <c r="I49" i="4"/>
  <c r="F11" i="4"/>
  <c r="F71" i="4" s="1"/>
  <c r="F26" i="4"/>
  <c r="F69" i="4" s="1"/>
  <c r="F17" i="4"/>
  <c r="F46" i="4" s="1"/>
  <c r="F20" i="4"/>
  <c r="F76" i="4" s="1"/>
  <c r="F24" i="4"/>
  <c r="F39" i="4" s="1"/>
  <c r="F32" i="4"/>
  <c r="F37" i="4" s="1"/>
  <c r="E14" i="8"/>
  <c r="K14" i="8" s="1"/>
  <c r="F14" i="8"/>
  <c r="E15" i="8"/>
  <c r="K15" i="8" s="1"/>
  <c r="F15" i="8"/>
  <c r="F35" i="8" s="1"/>
  <c r="F23" i="8"/>
  <c r="E31" i="8"/>
  <c r="K31" i="8" s="1"/>
  <c r="F14" i="4"/>
  <c r="F77" i="4" s="1"/>
  <c r="H77" i="4" s="1"/>
  <c r="E5" i="8"/>
  <c r="K5" i="8" s="1"/>
  <c r="F5" i="8"/>
  <c r="F34" i="8" s="1"/>
  <c r="E6" i="8"/>
  <c r="F6" i="8"/>
  <c r="F42" i="8" s="1"/>
  <c r="E9" i="8"/>
  <c r="K9" i="8" s="1"/>
  <c r="F9" i="8"/>
  <c r="E8" i="8"/>
  <c r="K8" i="8" s="1"/>
  <c r="F8" i="8"/>
  <c r="F49" i="8" s="1"/>
  <c r="H49" i="8" s="1"/>
  <c r="F16" i="8"/>
  <c r="F36" i="8" s="1"/>
  <c r="E24" i="8"/>
  <c r="K24" i="8" s="1"/>
  <c r="F24" i="8"/>
  <c r="F39" i="8" s="1"/>
  <c r="H39" i="8" s="1"/>
  <c r="F21" i="4"/>
  <c r="F44" i="4" s="1"/>
  <c r="E7" i="8"/>
  <c r="K7" i="8" s="1"/>
  <c r="F7" i="8"/>
  <c r="E10" i="8"/>
  <c r="F30" i="8"/>
  <c r="F45" i="8" s="1"/>
  <c r="H45" i="8" s="1"/>
  <c r="E30" i="8"/>
  <c r="K30" i="8" s="1"/>
  <c r="E28" i="8"/>
  <c r="K28" i="8" s="1"/>
  <c r="F28" i="8"/>
  <c r="F38" i="8" s="1"/>
  <c r="H38" i="8" s="1"/>
  <c r="E17" i="8"/>
  <c r="F17" i="8"/>
  <c r="F46" i="8" s="1"/>
  <c r="H46" i="8" s="1"/>
  <c r="E26" i="8"/>
  <c r="K26" i="8" s="1"/>
  <c r="F26" i="8"/>
  <c r="E21" i="8"/>
  <c r="K21" i="8" s="1"/>
  <c r="F21" i="8"/>
  <c r="F44" i="8" s="1"/>
  <c r="H29" i="9"/>
  <c r="E24" i="6"/>
  <c r="M9" i="19"/>
  <c r="C21" i="12"/>
  <c r="C44" i="12" s="1"/>
  <c r="C22" i="12"/>
  <c r="C15" i="12"/>
  <c r="C29" i="12"/>
  <c r="E27" i="8"/>
  <c r="K27" i="8" s="1"/>
  <c r="F27" i="8"/>
  <c r="G16" i="4"/>
  <c r="G36" i="4" s="1"/>
  <c r="I42" i="4"/>
  <c r="F6" i="4"/>
  <c r="F42" i="4" s="1"/>
  <c r="F23" i="4"/>
  <c r="F67" i="4" s="1"/>
  <c r="F30" i="4"/>
  <c r="F45" i="4" s="1"/>
  <c r="F13" i="4"/>
  <c r="F41" i="4" s="1"/>
  <c r="I41" i="4"/>
  <c r="F19" i="8"/>
  <c r="E19" i="8"/>
  <c r="K19" i="8" s="1"/>
  <c r="H10" i="10"/>
  <c r="H43" i="10" s="1"/>
  <c r="F25" i="4" l="1"/>
  <c r="F51" i="4" s="1"/>
  <c r="H46" i="4"/>
  <c r="E15" i="9"/>
  <c r="K15" i="9" s="1"/>
  <c r="K35" i="9" s="1"/>
  <c r="G21" i="9"/>
  <c r="G44" i="9" s="1"/>
  <c r="E21" i="9"/>
  <c r="K21" i="9" s="1"/>
  <c r="K44" i="9" s="1"/>
  <c r="G27" i="9"/>
  <c r="G5" i="9"/>
  <c r="G34" i="9" s="1"/>
  <c r="E11" i="15"/>
  <c r="K11" i="15" s="1"/>
  <c r="E31" i="15"/>
  <c r="H31" i="15" s="1"/>
  <c r="E4" i="15"/>
  <c r="K4" i="15" s="1"/>
  <c r="K40" i="15" s="1"/>
  <c r="H16" i="15"/>
  <c r="H42" i="8"/>
  <c r="H67" i="4"/>
  <c r="E44" i="9"/>
  <c r="K65" i="8"/>
  <c r="E49" i="15"/>
  <c r="E40" i="9"/>
  <c r="E46" i="9"/>
  <c r="I22" i="12"/>
  <c r="C72" i="12"/>
  <c r="C58" i="12"/>
  <c r="E8" i="15"/>
  <c r="H42" i="9"/>
  <c r="J6" i="12"/>
  <c r="J42" i="12" s="1"/>
  <c r="D42" i="12"/>
  <c r="J23" i="12"/>
  <c r="D67" i="12"/>
  <c r="D53" i="12"/>
  <c r="D52" i="12"/>
  <c r="D66" i="12"/>
  <c r="J29" i="9"/>
  <c r="J64" i="9" s="1"/>
  <c r="D78" i="9"/>
  <c r="D64" i="9"/>
  <c r="J7" i="12"/>
  <c r="D68" i="12"/>
  <c r="D54" i="12"/>
  <c r="J32" i="12"/>
  <c r="J37" i="12" s="1"/>
  <c r="D37" i="12"/>
  <c r="J10" i="15"/>
  <c r="J43" i="15" s="1"/>
  <c r="D43" i="15"/>
  <c r="E43" i="15" s="1"/>
  <c r="J12" i="15"/>
  <c r="J48" i="15" s="1"/>
  <c r="D48" i="15"/>
  <c r="D47" i="15" s="1"/>
  <c r="J47" i="15" s="1"/>
  <c r="J13" i="15"/>
  <c r="J41" i="15" s="1"/>
  <c r="D41" i="15"/>
  <c r="J16" i="15"/>
  <c r="J36" i="15" s="1"/>
  <c r="D36" i="15"/>
  <c r="J21" i="15"/>
  <c r="J44" i="15" s="1"/>
  <c r="D44" i="15"/>
  <c r="J25" i="15"/>
  <c r="J51" i="15" s="1"/>
  <c r="D51" i="15"/>
  <c r="E51" i="15" s="1"/>
  <c r="E42" i="9"/>
  <c r="I18" i="9"/>
  <c r="C74" i="9"/>
  <c r="C60" i="9"/>
  <c r="I23" i="9"/>
  <c r="I53" i="9" s="1"/>
  <c r="C53" i="9"/>
  <c r="C67" i="9"/>
  <c r="I27" i="9"/>
  <c r="C66" i="9"/>
  <c r="C52" i="9"/>
  <c r="G60" i="12"/>
  <c r="G74" i="12"/>
  <c r="J18" i="9"/>
  <c r="D60" i="9"/>
  <c r="D74" i="9"/>
  <c r="J23" i="9"/>
  <c r="J53" i="9" s="1"/>
  <c r="D53" i="9"/>
  <c r="D67" i="9"/>
  <c r="J27" i="9"/>
  <c r="D52" i="9"/>
  <c r="D66" i="9"/>
  <c r="J9" i="12"/>
  <c r="D75" i="12"/>
  <c r="D61" i="12"/>
  <c r="J9" i="15"/>
  <c r="D61" i="15"/>
  <c r="D75" i="15"/>
  <c r="J11" i="15"/>
  <c r="D71" i="15"/>
  <c r="D57" i="15"/>
  <c r="J14" i="15"/>
  <c r="J63" i="15" s="1"/>
  <c r="D63" i="15"/>
  <c r="D77" i="15"/>
  <c r="J19" i="15"/>
  <c r="D56" i="15"/>
  <c r="D70" i="15"/>
  <c r="J22" i="15"/>
  <c r="D58" i="15"/>
  <c r="D72" i="15"/>
  <c r="D69" i="15"/>
  <c r="D55" i="15"/>
  <c r="J28" i="15"/>
  <c r="J38" i="15" s="1"/>
  <c r="D38" i="15"/>
  <c r="E38" i="15" s="1"/>
  <c r="J30" i="15"/>
  <c r="J45" i="15" s="1"/>
  <c r="D45" i="15"/>
  <c r="E45" i="15" s="1"/>
  <c r="I7" i="9"/>
  <c r="C68" i="9"/>
  <c r="C54" i="9"/>
  <c r="F24" i="9"/>
  <c r="F39" i="9" s="1"/>
  <c r="C39" i="9"/>
  <c r="F32" i="9"/>
  <c r="F37" i="9" s="1"/>
  <c r="C37" i="9"/>
  <c r="E37" i="9" s="1"/>
  <c r="J20" i="12"/>
  <c r="D76" i="12"/>
  <c r="D62" i="12"/>
  <c r="J31" i="12"/>
  <c r="D59" i="12"/>
  <c r="D73" i="12"/>
  <c r="J7" i="9"/>
  <c r="D68" i="9"/>
  <c r="D54" i="9"/>
  <c r="J24" i="9"/>
  <c r="J39" i="9" s="1"/>
  <c r="D39" i="9"/>
  <c r="G5" i="15"/>
  <c r="G34" i="15" s="1"/>
  <c r="G15" i="12"/>
  <c r="G35" i="12" s="1"/>
  <c r="J17" i="12"/>
  <c r="J46" i="12" s="1"/>
  <c r="D46" i="12"/>
  <c r="G15" i="15"/>
  <c r="G35" i="15" s="1"/>
  <c r="D35" i="15"/>
  <c r="J20" i="15"/>
  <c r="D76" i="15"/>
  <c r="D62" i="15"/>
  <c r="J31" i="15"/>
  <c r="J59" i="15" s="1"/>
  <c r="D59" i="15"/>
  <c r="D73" i="15"/>
  <c r="E43" i="9"/>
  <c r="E41" i="9"/>
  <c r="I16" i="9"/>
  <c r="I36" i="9" s="1"/>
  <c r="C36" i="9"/>
  <c r="E36" i="9" s="1"/>
  <c r="J18" i="12"/>
  <c r="D60" i="12"/>
  <c r="D74" i="12"/>
  <c r="E48" i="9"/>
  <c r="D47" i="9"/>
  <c r="J47" i="9" s="1"/>
  <c r="J25" i="9"/>
  <c r="J51" i="9" s="1"/>
  <c r="D51" i="9"/>
  <c r="E51" i="9" s="1"/>
  <c r="I29" i="12"/>
  <c r="C64" i="12"/>
  <c r="C78" i="12"/>
  <c r="J17" i="15"/>
  <c r="J46" i="15" s="1"/>
  <c r="D46" i="15"/>
  <c r="J29" i="15"/>
  <c r="J64" i="15" s="1"/>
  <c r="D64" i="15"/>
  <c r="D78" i="15"/>
  <c r="I9" i="9"/>
  <c r="I75" i="9" s="1"/>
  <c r="C75" i="9"/>
  <c r="C61" i="9"/>
  <c r="I11" i="9"/>
  <c r="I71" i="9" s="1"/>
  <c r="C57" i="9"/>
  <c r="C71" i="9"/>
  <c r="I14" i="9"/>
  <c r="C63" i="9"/>
  <c r="C77" i="9"/>
  <c r="I19" i="9"/>
  <c r="I56" i="9" s="1"/>
  <c r="C70" i="9"/>
  <c r="C56" i="9"/>
  <c r="I22" i="9"/>
  <c r="I58" i="9" s="1"/>
  <c r="C72" i="9"/>
  <c r="C58" i="9"/>
  <c r="I26" i="9"/>
  <c r="I55" i="9" s="1"/>
  <c r="C69" i="9"/>
  <c r="C55" i="9"/>
  <c r="E45" i="9"/>
  <c r="J10" i="12"/>
  <c r="J43" i="12" s="1"/>
  <c r="D43" i="12"/>
  <c r="J16" i="12"/>
  <c r="J36" i="12" s="1"/>
  <c r="D36" i="12"/>
  <c r="J21" i="12"/>
  <c r="J44" i="12" s="1"/>
  <c r="D44" i="12"/>
  <c r="E44" i="12" s="1"/>
  <c r="J25" i="12"/>
  <c r="J51" i="12" s="1"/>
  <c r="D51" i="12"/>
  <c r="J9" i="9"/>
  <c r="J75" i="9" s="1"/>
  <c r="D75" i="9"/>
  <c r="D61" i="9"/>
  <c r="J11" i="9"/>
  <c r="J57" i="9" s="1"/>
  <c r="D57" i="9"/>
  <c r="D71" i="9"/>
  <c r="J14" i="9"/>
  <c r="J77" i="9" s="1"/>
  <c r="D63" i="9"/>
  <c r="D77" i="9"/>
  <c r="J19" i="9"/>
  <c r="J56" i="9" s="1"/>
  <c r="D70" i="9"/>
  <c r="D56" i="9"/>
  <c r="J22" i="9"/>
  <c r="J72" i="9" s="1"/>
  <c r="D58" i="9"/>
  <c r="D72" i="9"/>
  <c r="J26" i="9"/>
  <c r="J69" i="9" s="1"/>
  <c r="D55" i="9"/>
  <c r="D69" i="9"/>
  <c r="J28" i="9"/>
  <c r="J38" i="9" s="1"/>
  <c r="D38" i="9"/>
  <c r="E38" i="9" s="1"/>
  <c r="J11" i="12"/>
  <c r="D71" i="12"/>
  <c r="D57" i="12"/>
  <c r="J14" i="12"/>
  <c r="D77" i="12"/>
  <c r="D63" i="12"/>
  <c r="D70" i="12"/>
  <c r="D56" i="12"/>
  <c r="D72" i="12"/>
  <c r="D58" i="12"/>
  <c r="D55" i="12"/>
  <c r="D69" i="12"/>
  <c r="J28" i="12"/>
  <c r="J38" i="12" s="1"/>
  <c r="D38" i="12"/>
  <c r="J6" i="15"/>
  <c r="J42" i="15" s="1"/>
  <c r="D42" i="15"/>
  <c r="E42" i="15" s="1"/>
  <c r="D74" i="15"/>
  <c r="D60" i="15"/>
  <c r="J23" i="15"/>
  <c r="J53" i="15" s="1"/>
  <c r="D67" i="15"/>
  <c r="D53" i="15"/>
  <c r="J27" i="15"/>
  <c r="D66" i="15"/>
  <c r="D52" i="15"/>
  <c r="E49" i="9"/>
  <c r="E35" i="9"/>
  <c r="I20" i="9"/>
  <c r="I62" i="9" s="1"/>
  <c r="C76" i="9"/>
  <c r="C62" i="9"/>
  <c r="I31" i="9"/>
  <c r="I59" i="9" s="1"/>
  <c r="C59" i="9"/>
  <c r="C73" i="9"/>
  <c r="I15" i="12"/>
  <c r="I35" i="12" s="1"/>
  <c r="C35" i="12"/>
  <c r="E35" i="12" s="1"/>
  <c r="E15" i="15"/>
  <c r="K15" i="15" s="1"/>
  <c r="K35" i="15" s="1"/>
  <c r="J8" i="12"/>
  <c r="J49" i="12" s="1"/>
  <c r="D49" i="12"/>
  <c r="D47" i="12" s="1"/>
  <c r="J47" i="12" s="1"/>
  <c r="J20" i="9"/>
  <c r="J76" i="9" s="1"/>
  <c r="D76" i="9"/>
  <c r="D62" i="9"/>
  <c r="J31" i="9"/>
  <c r="J59" i="9" s="1"/>
  <c r="D59" i="9"/>
  <c r="D73" i="9"/>
  <c r="J29" i="12"/>
  <c r="D64" i="12"/>
  <c r="D78" i="12"/>
  <c r="J7" i="15"/>
  <c r="J68" i="15" s="1"/>
  <c r="D68" i="15"/>
  <c r="D54" i="15"/>
  <c r="J24" i="15"/>
  <c r="J39" i="15" s="1"/>
  <c r="D39" i="15"/>
  <c r="E39" i="15" s="1"/>
  <c r="J32" i="15"/>
  <c r="J37" i="15" s="1"/>
  <c r="D37" i="15"/>
  <c r="E34" i="9"/>
  <c r="I29" i="9"/>
  <c r="I78" i="9" s="1"/>
  <c r="C64" i="9"/>
  <c r="E64" i="9" s="1"/>
  <c r="C78" i="9"/>
  <c r="H13" i="4"/>
  <c r="E71" i="4"/>
  <c r="K76" i="9"/>
  <c r="K62" i="9"/>
  <c r="I68" i="9"/>
  <c r="I54" i="9"/>
  <c r="G66" i="9"/>
  <c r="G52" i="9"/>
  <c r="J66" i="9"/>
  <c r="J52" i="9"/>
  <c r="K71" i="9"/>
  <c r="K57" i="9"/>
  <c r="F70" i="9"/>
  <c r="F56" i="9"/>
  <c r="J68" i="9"/>
  <c r="J54" i="9"/>
  <c r="F78" i="9"/>
  <c r="F64" i="9"/>
  <c r="F55" i="9"/>
  <c r="F69" i="9"/>
  <c r="K66" i="9"/>
  <c r="K52" i="9"/>
  <c r="F75" i="9"/>
  <c r="F61" i="9"/>
  <c r="G78" i="9"/>
  <c r="G64" i="9"/>
  <c r="I61" i="9"/>
  <c r="I77" i="9"/>
  <c r="I63" i="9"/>
  <c r="I72" i="9"/>
  <c r="I69" i="9"/>
  <c r="J63" i="9"/>
  <c r="G70" i="9"/>
  <c r="G56" i="9"/>
  <c r="J74" i="9"/>
  <c r="J60" i="9"/>
  <c r="F71" i="9"/>
  <c r="F57" i="9"/>
  <c r="F63" i="9"/>
  <c r="F77" i="9"/>
  <c r="F74" i="9"/>
  <c r="F60" i="9"/>
  <c r="G77" i="9"/>
  <c r="G63" i="9"/>
  <c r="G73" i="9"/>
  <c r="G59" i="9"/>
  <c r="K56" i="9"/>
  <c r="K70" i="9"/>
  <c r="F47" i="9"/>
  <c r="H48" i="9"/>
  <c r="K64" i="9"/>
  <c r="K78" i="9"/>
  <c r="G76" i="9"/>
  <c r="G62" i="9"/>
  <c r="H44" i="9"/>
  <c r="K74" i="9"/>
  <c r="K60" i="9"/>
  <c r="K59" i="9"/>
  <c r="K73" i="9"/>
  <c r="H36" i="9"/>
  <c r="K72" i="9"/>
  <c r="K58" i="9"/>
  <c r="F76" i="9"/>
  <c r="F62" i="9"/>
  <c r="G53" i="9"/>
  <c r="G67" i="9"/>
  <c r="I74" i="9"/>
  <c r="I60" i="9"/>
  <c r="I66" i="9"/>
  <c r="I52" i="9"/>
  <c r="K73" i="10"/>
  <c r="K59" i="10"/>
  <c r="I76" i="10"/>
  <c r="I62" i="10"/>
  <c r="L57" i="10"/>
  <c r="L71" i="10"/>
  <c r="H55" i="10"/>
  <c r="H69" i="10"/>
  <c r="J69" i="10"/>
  <c r="J55" i="10"/>
  <c r="K68" i="10"/>
  <c r="K54" i="10"/>
  <c r="I52" i="10"/>
  <c r="I66" i="10"/>
  <c r="I74" i="10"/>
  <c r="I60" i="10"/>
  <c r="L72" i="10"/>
  <c r="L58" i="10"/>
  <c r="I73" i="10"/>
  <c r="I59" i="10"/>
  <c r="K74" i="10"/>
  <c r="K60" i="10"/>
  <c r="L69" i="10"/>
  <c r="L55" i="10"/>
  <c r="J74" i="10"/>
  <c r="J60" i="10"/>
  <c r="K56" i="10"/>
  <c r="K70" i="10"/>
  <c r="H52" i="10"/>
  <c r="H66" i="10"/>
  <c r="L68" i="10"/>
  <c r="L54" i="10"/>
  <c r="L74" i="10"/>
  <c r="L60" i="10"/>
  <c r="H63" i="10"/>
  <c r="H77" i="10"/>
  <c r="K72" i="10"/>
  <c r="K58" i="10"/>
  <c r="J59" i="10"/>
  <c r="J73" i="10"/>
  <c r="I75" i="10"/>
  <c r="I61" i="10"/>
  <c r="H78" i="10"/>
  <c r="H64" i="10"/>
  <c r="K78" i="10"/>
  <c r="K64" i="10"/>
  <c r="I72" i="10"/>
  <c r="I58" i="10"/>
  <c r="J78" i="10"/>
  <c r="J64" i="10"/>
  <c r="H68" i="10"/>
  <c r="H54" i="10"/>
  <c r="J77" i="10"/>
  <c r="J63" i="10"/>
  <c r="H53" i="10"/>
  <c r="H67" i="10"/>
  <c r="L52" i="10"/>
  <c r="L66" i="10"/>
  <c r="H73" i="10"/>
  <c r="H59" i="10"/>
  <c r="L62" i="10"/>
  <c r="L76" i="10"/>
  <c r="I67" i="10"/>
  <c r="I53" i="10"/>
  <c r="L70" i="10"/>
  <c r="L56" i="10"/>
  <c r="I78" i="10"/>
  <c r="I64" i="10"/>
  <c r="L78" i="10"/>
  <c r="L64" i="10"/>
  <c r="J72" i="10"/>
  <c r="J58" i="10"/>
  <c r="H76" i="10"/>
  <c r="H62" i="10"/>
  <c r="K66" i="10"/>
  <c r="K52" i="10"/>
  <c r="H74" i="10"/>
  <c r="H60" i="10"/>
  <c r="K69" i="10"/>
  <c r="K55" i="10"/>
  <c r="H71" i="10"/>
  <c r="H57" i="10"/>
  <c r="L59" i="10"/>
  <c r="L73" i="10"/>
  <c r="K77" i="10"/>
  <c r="K63" i="10"/>
  <c r="H72" i="10"/>
  <c r="H58" i="10"/>
  <c r="J76" i="10"/>
  <c r="J62" i="10"/>
  <c r="L47" i="10"/>
  <c r="H70" i="10"/>
  <c r="H56" i="10"/>
  <c r="I69" i="10"/>
  <c r="I55" i="10"/>
  <c r="L75" i="10"/>
  <c r="L61" i="10"/>
  <c r="K53" i="10"/>
  <c r="K67" i="10"/>
  <c r="K71" i="10"/>
  <c r="K57" i="10"/>
  <c r="I63" i="10"/>
  <c r="I77" i="10"/>
  <c r="I70" i="10"/>
  <c r="I56" i="10"/>
  <c r="I71" i="10"/>
  <c r="I57" i="10"/>
  <c r="L53" i="10"/>
  <c r="L67" i="10"/>
  <c r="K62" i="10"/>
  <c r="K76" i="10"/>
  <c r="J70" i="10"/>
  <c r="J56" i="10"/>
  <c r="L77" i="10"/>
  <c r="L63" i="10"/>
  <c r="J71" i="10"/>
  <c r="J57" i="10"/>
  <c r="I67" i="13"/>
  <c r="I53" i="13"/>
  <c r="L60" i="13"/>
  <c r="L74" i="13"/>
  <c r="L64" i="13"/>
  <c r="L78" i="13"/>
  <c r="K67" i="13"/>
  <c r="K53" i="13"/>
  <c r="J75" i="13"/>
  <c r="J61" i="13"/>
  <c r="I71" i="13"/>
  <c r="I57" i="13"/>
  <c r="H63" i="13"/>
  <c r="H77" i="13"/>
  <c r="K77" i="13"/>
  <c r="K63" i="13"/>
  <c r="J77" i="13"/>
  <c r="J63" i="13"/>
  <c r="J47" i="13"/>
  <c r="H71" i="13"/>
  <c r="H57" i="13"/>
  <c r="J69" i="13"/>
  <c r="J55" i="13"/>
  <c r="L63" i="13"/>
  <c r="L77" i="13"/>
  <c r="L72" i="13"/>
  <c r="L58" i="13"/>
  <c r="H73" i="13"/>
  <c r="H59" i="13"/>
  <c r="L76" i="13"/>
  <c r="L62" i="13"/>
  <c r="K76" i="13"/>
  <c r="K62" i="13"/>
  <c r="H74" i="13"/>
  <c r="H60" i="13"/>
  <c r="H53" i="13"/>
  <c r="H67" i="13"/>
  <c r="K61" i="13"/>
  <c r="K75" i="13"/>
  <c r="I64" i="13"/>
  <c r="I78" i="13"/>
  <c r="K66" i="13"/>
  <c r="K52" i="13"/>
  <c r="K69" i="13"/>
  <c r="K55" i="13"/>
  <c r="I77" i="13"/>
  <c r="I63" i="13"/>
  <c r="L70" i="13"/>
  <c r="L56" i="13"/>
  <c r="K33" i="13"/>
  <c r="I69" i="13"/>
  <c r="I55" i="13"/>
  <c r="I72" i="13"/>
  <c r="I58" i="13"/>
  <c r="H64" i="13"/>
  <c r="H78" i="13"/>
  <c r="K72" i="13"/>
  <c r="K58" i="13"/>
  <c r="I61" i="13"/>
  <c r="I75" i="13"/>
  <c r="L52" i="13"/>
  <c r="L66" i="13"/>
  <c r="J74" i="13"/>
  <c r="J60" i="13"/>
  <c r="K56" i="13"/>
  <c r="K70" i="13"/>
  <c r="K47" i="13"/>
  <c r="J66" i="13"/>
  <c r="J52" i="13"/>
  <c r="H72" i="13"/>
  <c r="H58" i="13"/>
  <c r="L47" i="13"/>
  <c r="L53" i="13"/>
  <c r="L67" i="13"/>
  <c r="I73" i="13"/>
  <c r="I59" i="13"/>
  <c r="L69" i="13"/>
  <c r="L55" i="13"/>
  <c r="K60" i="13"/>
  <c r="K74" i="13"/>
  <c r="I76" i="13"/>
  <c r="I62" i="13"/>
  <c r="J73" i="13"/>
  <c r="J59" i="13"/>
  <c r="I47" i="13"/>
  <c r="I66" i="13"/>
  <c r="I52" i="13"/>
  <c r="L68" i="13"/>
  <c r="L54" i="13"/>
  <c r="J78" i="13"/>
  <c r="J64" i="13"/>
  <c r="J58" i="13"/>
  <c r="J72" i="13"/>
  <c r="H70" i="13"/>
  <c r="H56" i="13"/>
  <c r="H69" i="13"/>
  <c r="H55" i="13"/>
  <c r="H52" i="13"/>
  <c r="H66" i="13"/>
  <c r="J76" i="13"/>
  <c r="J62" i="13"/>
  <c r="L73" i="13"/>
  <c r="L59" i="13"/>
  <c r="H47" i="13"/>
  <c r="I56" i="13"/>
  <c r="I70" i="13"/>
  <c r="H62" i="13"/>
  <c r="H76" i="13"/>
  <c r="L33" i="13"/>
  <c r="H61" i="13"/>
  <c r="H75" i="13"/>
  <c r="K78" i="13"/>
  <c r="K64" i="13"/>
  <c r="J70" i="13"/>
  <c r="J56" i="13"/>
  <c r="K73" i="13"/>
  <c r="K59" i="13"/>
  <c r="J67" i="13"/>
  <c r="J53" i="13"/>
  <c r="I74" i="13"/>
  <c r="I60" i="13"/>
  <c r="J66" i="15"/>
  <c r="J52" i="15"/>
  <c r="J75" i="15"/>
  <c r="J61" i="15"/>
  <c r="J71" i="15"/>
  <c r="J57" i="15"/>
  <c r="J70" i="15"/>
  <c r="J56" i="15"/>
  <c r="J72" i="15"/>
  <c r="J58" i="15"/>
  <c r="H35" i="15"/>
  <c r="J76" i="15"/>
  <c r="J62" i="15"/>
  <c r="J54" i="16"/>
  <c r="J68" i="16"/>
  <c r="I71" i="16"/>
  <c r="I57" i="16"/>
  <c r="K69" i="16"/>
  <c r="K55" i="16"/>
  <c r="H66" i="16"/>
  <c r="H52" i="16"/>
  <c r="H58" i="16"/>
  <c r="H72" i="16"/>
  <c r="H59" i="16"/>
  <c r="H73" i="16"/>
  <c r="H70" i="16"/>
  <c r="H56" i="16"/>
  <c r="I62" i="16"/>
  <c r="I76" i="16"/>
  <c r="L73" i="16"/>
  <c r="L59" i="16"/>
  <c r="L53" i="16"/>
  <c r="L67" i="16"/>
  <c r="L62" i="16"/>
  <c r="L76" i="16"/>
  <c r="H54" i="16"/>
  <c r="H68" i="16"/>
  <c r="H62" i="16"/>
  <c r="H76" i="16"/>
  <c r="J33" i="16"/>
  <c r="L54" i="16"/>
  <c r="L68" i="16"/>
  <c r="I66" i="16"/>
  <c r="I52" i="16"/>
  <c r="K74" i="16"/>
  <c r="K60" i="16"/>
  <c r="H71" i="16"/>
  <c r="H57" i="16"/>
  <c r="L74" i="16"/>
  <c r="L60" i="16"/>
  <c r="J77" i="16"/>
  <c r="J63" i="16"/>
  <c r="I78" i="16"/>
  <c r="I64" i="16"/>
  <c r="I58" i="16"/>
  <c r="I72" i="16"/>
  <c r="L77" i="16"/>
  <c r="L63" i="16"/>
  <c r="H63" i="16"/>
  <c r="H77" i="16"/>
  <c r="L61" i="16"/>
  <c r="L75" i="16"/>
  <c r="K77" i="16"/>
  <c r="K63" i="16"/>
  <c r="J66" i="16"/>
  <c r="J52" i="16"/>
  <c r="K57" i="16"/>
  <c r="K71" i="16"/>
  <c r="L69" i="16"/>
  <c r="L55" i="16"/>
  <c r="I63" i="16"/>
  <c r="I77" i="16"/>
  <c r="J58" i="16"/>
  <c r="J72" i="16"/>
  <c r="K70" i="16"/>
  <c r="K56" i="16"/>
  <c r="I59" i="16"/>
  <c r="I73" i="16"/>
  <c r="H67" i="16"/>
  <c r="H53" i="16"/>
  <c r="J61" i="16"/>
  <c r="J75" i="16"/>
  <c r="J78" i="16"/>
  <c r="J64" i="16"/>
  <c r="L70" i="16"/>
  <c r="L56" i="16"/>
  <c r="I55" i="16"/>
  <c r="I69" i="16"/>
  <c r="K66" i="16"/>
  <c r="K52" i="16"/>
  <c r="I70" i="16"/>
  <c r="I56" i="16"/>
  <c r="K54" i="16"/>
  <c r="K68" i="16"/>
  <c r="I47" i="16"/>
  <c r="I54" i="16"/>
  <c r="I68" i="16"/>
  <c r="J69" i="16"/>
  <c r="J55" i="16"/>
  <c r="K58" i="16"/>
  <c r="K72" i="16"/>
  <c r="J74" i="16"/>
  <c r="J60" i="16"/>
  <c r="L78" i="16"/>
  <c r="L64" i="16"/>
  <c r="I67" i="16"/>
  <c r="I53" i="16"/>
  <c r="J53" i="16"/>
  <c r="J67" i="16"/>
  <c r="J73" i="16"/>
  <c r="J59" i="16"/>
  <c r="H74" i="16"/>
  <c r="H60" i="16"/>
  <c r="L47" i="16"/>
  <c r="J57" i="16"/>
  <c r="J71" i="16"/>
  <c r="L66" i="16"/>
  <c r="L52" i="16"/>
  <c r="L58" i="16"/>
  <c r="L72" i="16"/>
  <c r="K53" i="16"/>
  <c r="K67" i="16"/>
  <c r="J62" i="16"/>
  <c r="J76" i="16"/>
  <c r="K73" i="16"/>
  <c r="K59" i="16"/>
  <c r="H55" i="16"/>
  <c r="H69" i="16"/>
  <c r="I74" i="16"/>
  <c r="I60" i="16"/>
  <c r="K78" i="16"/>
  <c r="K64" i="16"/>
  <c r="K62" i="16"/>
  <c r="K76" i="16"/>
  <c r="H78" i="16"/>
  <c r="H64" i="16"/>
  <c r="J70" i="16"/>
  <c r="J56" i="16"/>
  <c r="L57" i="16"/>
  <c r="L71" i="16"/>
  <c r="K50" i="8"/>
  <c r="L50" i="8"/>
  <c r="L47" i="8"/>
  <c r="K47" i="8"/>
  <c r="E6" i="15"/>
  <c r="K6" i="15" s="1"/>
  <c r="K42" i="15" s="1"/>
  <c r="K71" i="15"/>
  <c r="K57" i="15"/>
  <c r="I4" i="15"/>
  <c r="I40" i="15" s="1"/>
  <c r="C40" i="15"/>
  <c r="E40" i="15" s="1"/>
  <c r="I7" i="15"/>
  <c r="C54" i="15"/>
  <c r="C68" i="15"/>
  <c r="I32" i="15"/>
  <c r="I37" i="15" s="1"/>
  <c r="C37" i="15"/>
  <c r="K53" i="15"/>
  <c r="K67" i="15"/>
  <c r="E48" i="15"/>
  <c r="E47" i="15" s="1"/>
  <c r="K47" i="15" s="1"/>
  <c r="C47" i="15"/>
  <c r="I47" i="15" s="1"/>
  <c r="I13" i="15"/>
  <c r="I41" i="15" s="1"/>
  <c r="C41" i="15"/>
  <c r="E41" i="15" s="1"/>
  <c r="I16" i="15"/>
  <c r="I36" i="15" s="1"/>
  <c r="C36" i="15"/>
  <c r="E36" i="15" s="1"/>
  <c r="I21" i="15"/>
  <c r="I44" i="15" s="1"/>
  <c r="C44" i="15"/>
  <c r="F5" i="15"/>
  <c r="F34" i="15" s="1"/>
  <c r="F73" i="15"/>
  <c r="F59" i="15"/>
  <c r="K66" i="15"/>
  <c r="K52" i="15"/>
  <c r="F60" i="15"/>
  <c r="F74" i="15"/>
  <c r="I9" i="15"/>
  <c r="C75" i="15"/>
  <c r="C61" i="15"/>
  <c r="I11" i="15"/>
  <c r="C57" i="15"/>
  <c r="E57" i="15" s="1"/>
  <c r="C71" i="15"/>
  <c r="E71" i="15" s="1"/>
  <c r="I14" i="15"/>
  <c r="C63" i="15"/>
  <c r="C77" i="15"/>
  <c r="I19" i="15"/>
  <c r="C70" i="15"/>
  <c r="E70" i="15" s="1"/>
  <c r="C56" i="15"/>
  <c r="I22" i="15"/>
  <c r="C72" i="15"/>
  <c r="C58" i="15"/>
  <c r="I26" i="15"/>
  <c r="C69" i="15"/>
  <c r="E69" i="15" s="1"/>
  <c r="C55" i="15"/>
  <c r="E55" i="15" s="1"/>
  <c r="E26" i="15"/>
  <c r="H26" i="15" s="1"/>
  <c r="K60" i="15"/>
  <c r="K74" i="15"/>
  <c r="I15" i="15"/>
  <c r="I35" i="15" s="1"/>
  <c r="C35" i="15"/>
  <c r="E35" i="15" s="1"/>
  <c r="C62" i="15"/>
  <c r="C76" i="15"/>
  <c r="I31" i="15"/>
  <c r="C59" i="15"/>
  <c r="C73" i="15"/>
  <c r="E73" i="15" s="1"/>
  <c r="E34" i="15"/>
  <c r="I17" i="15"/>
  <c r="I46" i="15" s="1"/>
  <c r="C46" i="15"/>
  <c r="I29" i="15"/>
  <c r="C64" i="15"/>
  <c r="C78" i="15"/>
  <c r="H30" i="15"/>
  <c r="F58" i="15"/>
  <c r="F72" i="15"/>
  <c r="I18" i="15"/>
  <c r="C60" i="15"/>
  <c r="C74" i="15"/>
  <c r="E74" i="15" s="1"/>
  <c r="I23" i="15"/>
  <c r="C53" i="15"/>
  <c r="E53" i="15" s="1"/>
  <c r="C67" i="15"/>
  <c r="I27" i="15"/>
  <c r="C52" i="15"/>
  <c r="C66" i="15"/>
  <c r="K17" i="8"/>
  <c r="K46" i="8" s="1"/>
  <c r="K10" i="8"/>
  <c r="K43" i="8" s="1"/>
  <c r="K6" i="8"/>
  <c r="K42" i="8" s="1"/>
  <c r="H36" i="8"/>
  <c r="H35" i="8"/>
  <c r="G71" i="8"/>
  <c r="G57" i="8"/>
  <c r="G72" i="8"/>
  <c r="G58" i="8"/>
  <c r="G67" i="8"/>
  <c r="G53" i="8"/>
  <c r="F66" i="8"/>
  <c r="F52" i="8"/>
  <c r="L30" i="8"/>
  <c r="K45" i="8"/>
  <c r="F68" i="8"/>
  <c r="F54" i="8"/>
  <c r="F76" i="8"/>
  <c r="F62" i="8"/>
  <c r="G75" i="8"/>
  <c r="G61" i="8"/>
  <c r="H7" i="8"/>
  <c r="H34" i="8"/>
  <c r="L20" i="8"/>
  <c r="L24" i="8"/>
  <c r="K39" i="8"/>
  <c r="H5" i="8"/>
  <c r="K34" i="8"/>
  <c r="H27" i="8"/>
  <c r="H44" i="8"/>
  <c r="F77" i="8"/>
  <c r="F63" i="8"/>
  <c r="G74" i="8"/>
  <c r="G60" i="8"/>
  <c r="L19" i="8"/>
  <c r="L21" i="8"/>
  <c r="K44" i="8"/>
  <c r="L31" i="8"/>
  <c r="L14" i="8"/>
  <c r="F78" i="8"/>
  <c r="F64" i="8"/>
  <c r="G69" i="8"/>
  <c r="G55" i="8"/>
  <c r="G73" i="8"/>
  <c r="G59" i="8"/>
  <c r="G56" i="8"/>
  <c r="G70" i="8"/>
  <c r="F70" i="8"/>
  <c r="F56" i="8"/>
  <c r="L8" i="8"/>
  <c r="K49" i="8"/>
  <c r="L29" i="8"/>
  <c r="G78" i="8"/>
  <c r="G64" i="8"/>
  <c r="F75" i="8"/>
  <c r="F61" i="8"/>
  <c r="F67" i="8"/>
  <c r="F53" i="8"/>
  <c r="G62" i="8"/>
  <c r="G76" i="8"/>
  <c r="G68" i="8"/>
  <c r="G54" i="8"/>
  <c r="G66" i="8"/>
  <c r="G52" i="8"/>
  <c r="F55" i="8"/>
  <c r="F69" i="8"/>
  <c r="H69" i="8" s="1"/>
  <c r="L28" i="8"/>
  <c r="K38" i="8"/>
  <c r="K61" i="8"/>
  <c r="K75" i="8"/>
  <c r="H26" i="8"/>
  <c r="L15" i="8"/>
  <c r="K35" i="8"/>
  <c r="G77" i="8"/>
  <c r="G63" i="8"/>
  <c r="H69" i="4"/>
  <c r="J19" i="4"/>
  <c r="J70" i="4" s="1"/>
  <c r="D70" i="4"/>
  <c r="J31" i="4"/>
  <c r="J73" i="4" s="1"/>
  <c r="D73" i="4"/>
  <c r="E68" i="4"/>
  <c r="I27" i="4"/>
  <c r="I66" i="4" s="1"/>
  <c r="C66" i="4"/>
  <c r="I29" i="4"/>
  <c r="I78" i="4" s="1"/>
  <c r="C78" i="4"/>
  <c r="J27" i="4"/>
  <c r="J66" i="4" s="1"/>
  <c r="D66" i="4"/>
  <c r="J29" i="4"/>
  <c r="J78" i="4" s="1"/>
  <c r="D78" i="4"/>
  <c r="I22" i="4"/>
  <c r="I72" i="4" s="1"/>
  <c r="C72" i="4"/>
  <c r="J22" i="4"/>
  <c r="J72" i="4" s="1"/>
  <c r="D72" i="4"/>
  <c r="I18" i="4"/>
  <c r="I74" i="4" s="1"/>
  <c r="C74" i="4"/>
  <c r="I20" i="4"/>
  <c r="I76" i="4" s="1"/>
  <c r="C76" i="4"/>
  <c r="G27" i="4"/>
  <c r="G66" i="4" s="1"/>
  <c r="J18" i="4"/>
  <c r="J74" i="4" s="1"/>
  <c r="D74" i="4"/>
  <c r="J20" i="4"/>
  <c r="J76" i="4" s="1"/>
  <c r="D76" i="4"/>
  <c r="I26" i="4"/>
  <c r="I69" i="4" s="1"/>
  <c r="C69" i="4"/>
  <c r="J26" i="4"/>
  <c r="J69" i="4" s="1"/>
  <c r="D69" i="4"/>
  <c r="E75" i="4"/>
  <c r="I14" i="4"/>
  <c r="I77" i="4" s="1"/>
  <c r="C77" i="4"/>
  <c r="I23" i="4"/>
  <c r="I67" i="4" s="1"/>
  <c r="C67" i="4"/>
  <c r="G29" i="4"/>
  <c r="G78" i="4" s="1"/>
  <c r="J14" i="4"/>
  <c r="J77" i="4" s="1"/>
  <c r="D77" i="4"/>
  <c r="J23" i="4"/>
  <c r="J67" i="4" s="1"/>
  <c r="D67" i="4"/>
  <c r="I19" i="4"/>
  <c r="I70" i="4" s="1"/>
  <c r="C70" i="4"/>
  <c r="I31" i="4"/>
  <c r="I73" i="4" s="1"/>
  <c r="C73" i="4"/>
  <c r="E73" i="4" s="1"/>
  <c r="G9" i="3"/>
  <c r="G75" i="3" s="1"/>
  <c r="D75" i="3"/>
  <c r="D60" i="3"/>
  <c r="D74" i="3"/>
  <c r="J29" i="3"/>
  <c r="J78" i="3" s="1"/>
  <c r="D78" i="3"/>
  <c r="J11" i="3"/>
  <c r="J71" i="3" s="1"/>
  <c r="D71" i="3"/>
  <c r="J19" i="3"/>
  <c r="J70" i="3" s="1"/>
  <c r="D70" i="3"/>
  <c r="G26" i="3"/>
  <c r="G69" i="3" s="1"/>
  <c r="D69" i="3"/>
  <c r="E69" i="3" s="1"/>
  <c r="L69" i="3" s="1"/>
  <c r="G18" i="4"/>
  <c r="G74" i="4" s="1"/>
  <c r="E49" i="4"/>
  <c r="G20" i="4"/>
  <c r="G76" i="4" s="1"/>
  <c r="H76" i="4" s="1"/>
  <c r="E41" i="4"/>
  <c r="G18" i="3"/>
  <c r="G74" i="3" s="1"/>
  <c r="D47" i="4"/>
  <c r="J47" i="4" s="1"/>
  <c r="D64" i="3"/>
  <c r="E42" i="4"/>
  <c r="H39" i="4"/>
  <c r="H30" i="9"/>
  <c r="I21" i="12"/>
  <c r="I44" i="12" s="1"/>
  <c r="F31" i="9"/>
  <c r="J5" i="15"/>
  <c r="J34" i="15" s="1"/>
  <c r="J12" i="12"/>
  <c r="J48" i="12" s="1"/>
  <c r="I6" i="15"/>
  <c r="I42" i="15" s="1"/>
  <c r="G32" i="9"/>
  <c r="G37" i="9" s="1"/>
  <c r="H37" i="9" s="1"/>
  <c r="J32" i="9"/>
  <c r="J37" i="9" s="1"/>
  <c r="C40" i="4"/>
  <c r="I4" i="4"/>
  <c r="I40" i="4" s="1"/>
  <c r="C38" i="4"/>
  <c r="I28" i="4"/>
  <c r="I38" i="4" s="1"/>
  <c r="G24" i="9"/>
  <c r="G39" i="9" s="1"/>
  <c r="H39" i="9" s="1"/>
  <c r="I5" i="15"/>
  <c r="I34" i="15" s="1"/>
  <c r="G19" i="12"/>
  <c r="J19" i="12"/>
  <c r="G22" i="12"/>
  <c r="J22" i="12"/>
  <c r="G26" i="12"/>
  <c r="J26" i="12"/>
  <c r="G18" i="15"/>
  <c r="J18" i="15"/>
  <c r="I10" i="9"/>
  <c r="I43" i="9" s="1"/>
  <c r="I12" i="9"/>
  <c r="I48" i="9" s="1"/>
  <c r="I13" i="9"/>
  <c r="I41" i="9" s="1"/>
  <c r="I21" i="9"/>
  <c r="I44" i="9" s="1"/>
  <c r="I25" i="9"/>
  <c r="I51" i="9" s="1"/>
  <c r="D40" i="4"/>
  <c r="J4" i="4"/>
  <c r="J40" i="4" s="1"/>
  <c r="D38" i="4"/>
  <c r="J28" i="4"/>
  <c r="J38" i="4" s="1"/>
  <c r="I15" i="18"/>
  <c r="J15" i="12"/>
  <c r="J35" i="12" s="1"/>
  <c r="I24" i="15"/>
  <c r="I39" i="15" s="1"/>
  <c r="J10" i="9"/>
  <c r="J43" i="9" s="1"/>
  <c r="J12" i="9"/>
  <c r="J48" i="9" s="1"/>
  <c r="J13" i="9"/>
  <c r="J41" i="9" s="1"/>
  <c r="J16" i="9"/>
  <c r="J36" i="9" s="1"/>
  <c r="J21" i="9"/>
  <c r="J44" i="9" s="1"/>
  <c r="C44" i="4"/>
  <c r="I21" i="4"/>
  <c r="I44" i="4" s="1"/>
  <c r="F29" i="15"/>
  <c r="J4" i="15"/>
  <c r="J40" i="15" s="1"/>
  <c r="I28" i="9"/>
  <c r="I38" i="9" s="1"/>
  <c r="I30" i="9"/>
  <c r="I45" i="9" s="1"/>
  <c r="D44" i="4"/>
  <c r="J21" i="4"/>
  <c r="J44" i="4" s="1"/>
  <c r="F27" i="9"/>
  <c r="G27" i="12"/>
  <c r="J27" i="12"/>
  <c r="I10" i="15"/>
  <c r="I43" i="15" s="1"/>
  <c r="I12" i="15"/>
  <c r="I48" i="15" s="1"/>
  <c r="F25" i="15"/>
  <c r="F51" i="15" s="1"/>
  <c r="I25" i="15"/>
  <c r="I51" i="15" s="1"/>
  <c r="J30" i="9"/>
  <c r="J45" i="9" s="1"/>
  <c r="C46" i="4"/>
  <c r="I17" i="4"/>
  <c r="I46" i="4" s="1"/>
  <c r="I8" i="9"/>
  <c r="I49" i="9" s="1"/>
  <c r="I15" i="9"/>
  <c r="I35" i="9" s="1"/>
  <c r="D46" i="4"/>
  <c r="J17" i="4"/>
  <c r="J46" i="4" s="1"/>
  <c r="E22" i="15"/>
  <c r="E13" i="15"/>
  <c r="H13" i="15" s="1"/>
  <c r="E14" i="15"/>
  <c r="G18" i="9"/>
  <c r="G21" i="15"/>
  <c r="G44" i="15" s="1"/>
  <c r="G29" i="15"/>
  <c r="J13" i="12"/>
  <c r="J41" i="12" s="1"/>
  <c r="I28" i="15"/>
  <c r="I38" i="15" s="1"/>
  <c r="I30" i="15"/>
  <c r="I45" i="15" s="1"/>
  <c r="J8" i="9"/>
  <c r="J49" i="9" s="1"/>
  <c r="J15" i="9"/>
  <c r="J35" i="9" s="1"/>
  <c r="C37" i="4"/>
  <c r="I32" i="4"/>
  <c r="I37" i="4" s="1"/>
  <c r="I4" i="9"/>
  <c r="I40" i="9" s="1"/>
  <c r="J30" i="12"/>
  <c r="J45" i="12" s="1"/>
  <c r="G26" i="15"/>
  <c r="J26" i="15"/>
  <c r="I5" i="9"/>
  <c r="I34" i="9" s="1"/>
  <c r="I17" i="9"/>
  <c r="I46" i="9" s="1"/>
  <c r="D37" i="4"/>
  <c r="J32" i="4"/>
  <c r="J37" i="4" s="1"/>
  <c r="E17" i="15"/>
  <c r="K17" i="15" s="1"/>
  <c r="K46" i="15" s="1"/>
  <c r="E25" i="15"/>
  <c r="F15" i="9"/>
  <c r="F35" i="9" s="1"/>
  <c r="F23" i="9"/>
  <c r="J4" i="9"/>
  <c r="J40" i="9" s="1"/>
  <c r="I8" i="15"/>
  <c r="I49" i="15" s="1"/>
  <c r="F20" i="15"/>
  <c r="I20" i="15"/>
  <c r="J5" i="9"/>
  <c r="J34" i="9" s="1"/>
  <c r="J17" i="9"/>
  <c r="J46" i="9" s="1"/>
  <c r="D39" i="3"/>
  <c r="C39" i="4"/>
  <c r="I24" i="4"/>
  <c r="I39" i="4" s="1"/>
  <c r="J8" i="15"/>
  <c r="J49" i="15" s="1"/>
  <c r="J15" i="15"/>
  <c r="J35" i="15" s="1"/>
  <c r="I6" i="9"/>
  <c r="I42" i="9" s="1"/>
  <c r="D39" i="4"/>
  <c r="J24" i="4"/>
  <c r="J39" i="4" s="1"/>
  <c r="J6" i="9"/>
  <c r="J42" i="9" s="1"/>
  <c r="C35" i="4"/>
  <c r="I15" i="4"/>
  <c r="I35" i="4" s="1"/>
  <c r="C36" i="4"/>
  <c r="I16" i="4"/>
  <c r="I36" i="4" s="1"/>
  <c r="C45" i="4"/>
  <c r="I30" i="4"/>
  <c r="I45" i="4" s="1"/>
  <c r="J5" i="12"/>
  <c r="J34" i="12" s="1"/>
  <c r="J4" i="12"/>
  <c r="J40" i="12" s="1"/>
  <c r="J24" i="12"/>
  <c r="J39" i="12" s="1"/>
  <c r="I24" i="9"/>
  <c r="I39" i="9" s="1"/>
  <c r="I32" i="9"/>
  <c r="I37" i="9" s="1"/>
  <c r="D35" i="4"/>
  <c r="J15" i="4"/>
  <c r="J35" i="4" s="1"/>
  <c r="D36" i="4"/>
  <c r="J16" i="4"/>
  <c r="J36" i="4" s="1"/>
  <c r="D51" i="4"/>
  <c r="J25" i="4"/>
  <c r="J51" i="4" s="1"/>
  <c r="D45" i="4"/>
  <c r="J30" i="4"/>
  <c r="J45" i="4" s="1"/>
  <c r="H20" i="15"/>
  <c r="K20" i="15"/>
  <c r="K5" i="15"/>
  <c r="K34" i="15" s="1"/>
  <c r="H4" i="15"/>
  <c r="H6" i="15"/>
  <c r="K19" i="15"/>
  <c r="K29" i="15"/>
  <c r="H8" i="15"/>
  <c r="K8" i="15"/>
  <c r="K49" i="15" s="1"/>
  <c r="H14" i="15"/>
  <c r="K14" i="15"/>
  <c r="H21" i="15"/>
  <c r="K21" i="15"/>
  <c r="K44" i="15" s="1"/>
  <c r="K10" i="15"/>
  <c r="K43" i="15" s="1"/>
  <c r="H25" i="15"/>
  <c r="K25" i="15"/>
  <c r="K51" i="15" s="1"/>
  <c r="K31" i="15"/>
  <c r="K28" i="15"/>
  <c r="K38" i="15" s="1"/>
  <c r="K9" i="15"/>
  <c r="K12" i="15"/>
  <c r="K48" i="15" s="1"/>
  <c r="H9" i="9"/>
  <c r="K9" i="9"/>
  <c r="H32" i="9"/>
  <c r="K32" i="9"/>
  <c r="K37" i="9" s="1"/>
  <c r="H14" i="9"/>
  <c r="K14" i="9"/>
  <c r="H24" i="9"/>
  <c r="K24" i="9"/>
  <c r="K39" i="9" s="1"/>
  <c r="H5" i="9"/>
  <c r="K5" i="9"/>
  <c r="K34" i="9" s="1"/>
  <c r="H12" i="9"/>
  <c r="K12" i="9"/>
  <c r="K48" i="9" s="1"/>
  <c r="H25" i="9"/>
  <c r="K25" i="9"/>
  <c r="K51" i="9" s="1"/>
  <c r="K10" i="9"/>
  <c r="K43" i="9" s="1"/>
  <c r="K17" i="9"/>
  <c r="K46" i="9" s="1"/>
  <c r="H13" i="9"/>
  <c r="K13" i="9"/>
  <c r="K41" i="9" s="1"/>
  <c r="H6" i="9"/>
  <c r="K6" i="9"/>
  <c r="K42" i="9" s="1"/>
  <c r="H23" i="9"/>
  <c r="K23" i="9"/>
  <c r="H18" i="9"/>
  <c r="H37" i="4"/>
  <c r="H35" i="4"/>
  <c r="H45" i="4"/>
  <c r="H41" i="4"/>
  <c r="H42" i="4"/>
  <c r="H31" i="9"/>
  <c r="H27" i="9"/>
  <c r="F17" i="9"/>
  <c r="F46" i="9" s="1"/>
  <c r="H46" i="9" s="1"/>
  <c r="H44" i="4"/>
  <c r="H20" i="9"/>
  <c r="J21" i="3"/>
  <c r="J44" i="3" s="1"/>
  <c r="J28" i="3"/>
  <c r="J38" i="3" s="1"/>
  <c r="G29" i="3"/>
  <c r="G78" i="3" s="1"/>
  <c r="H22" i="9"/>
  <c r="H31" i="8"/>
  <c r="G8" i="9"/>
  <c r="G49" i="9" s="1"/>
  <c r="H49" i="9" s="1"/>
  <c r="D61" i="3"/>
  <c r="J9" i="3"/>
  <c r="J75" i="3" s="1"/>
  <c r="J14" i="3"/>
  <c r="J77" i="3" s="1"/>
  <c r="H5" i="15"/>
  <c r="E57" i="4"/>
  <c r="E54" i="4"/>
  <c r="E19" i="4"/>
  <c r="K19" i="4" s="1"/>
  <c r="K70" i="4" s="1"/>
  <c r="D56" i="4"/>
  <c r="F53" i="4"/>
  <c r="F63" i="4"/>
  <c r="F54" i="4"/>
  <c r="G59" i="4"/>
  <c r="G58" i="4"/>
  <c r="C53" i="4"/>
  <c r="E26" i="4"/>
  <c r="K26" i="4" s="1"/>
  <c r="K69" i="4" s="1"/>
  <c r="C55" i="4"/>
  <c r="G63" i="4"/>
  <c r="G30" i="12"/>
  <c r="G45" i="12" s="1"/>
  <c r="G15" i="9"/>
  <c r="G35" i="9" s="1"/>
  <c r="D53" i="4"/>
  <c r="D55" i="4"/>
  <c r="F62" i="4"/>
  <c r="F55" i="4"/>
  <c r="F57" i="4"/>
  <c r="G61" i="4"/>
  <c r="F12" i="15"/>
  <c r="F48" i="15" s="1"/>
  <c r="C63" i="4"/>
  <c r="E18" i="4"/>
  <c r="K18" i="4" s="1"/>
  <c r="K74" i="4" s="1"/>
  <c r="C60" i="4"/>
  <c r="E24" i="4"/>
  <c r="K24" i="4" s="1"/>
  <c r="G55" i="4"/>
  <c r="D63" i="4"/>
  <c r="D60" i="4"/>
  <c r="E25" i="4"/>
  <c r="K25" i="4" s="1"/>
  <c r="C51" i="4"/>
  <c r="G52" i="4"/>
  <c r="F7" i="9"/>
  <c r="C59" i="4"/>
  <c r="G62" i="4"/>
  <c r="G60" i="4"/>
  <c r="G64" i="4"/>
  <c r="F5" i="9"/>
  <c r="F34" i="9" s="1"/>
  <c r="H34" i="9" s="1"/>
  <c r="D59" i="4"/>
  <c r="D40" i="3"/>
  <c r="G4" i="3"/>
  <c r="G40" i="3" s="1"/>
  <c r="E22" i="4"/>
  <c r="K22" i="4" s="1"/>
  <c r="K72" i="4" s="1"/>
  <c r="C58" i="4"/>
  <c r="E27" i="4"/>
  <c r="C52" i="4"/>
  <c r="E29" i="4"/>
  <c r="C64" i="4"/>
  <c r="H36" i="4"/>
  <c r="E20" i="4"/>
  <c r="K20" i="4" s="1"/>
  <c r="K76" i="4" s="1"/>
  <c r="C62" i="4"/>
  <c r="D58" i="4"/>
  <c r="D52" i="4"/>
  <c r="D64" i="4"/>
  <c r="E34" i="4"/>
  <c r="F56" i="4"/>
  <c r="G53" i="4"/>
  <c r="D62" i="4"/>
  <c r="G9" i="9"/>
  <c r="G11" i="9"/>
  <c r="F22" i="9"/>
  <c r="C56" i="4"/>
  <c r="E61" i="4"/>
  <c r="E48" i="4"/>
  <c r="C55" i="3"/>
  <c r="C23" i="3"/>
  <c r="C67" i="3" s="1"/>
  <c r="E67" i="3" s="1"/>
  <c r="L67" i="3" s="1"/>
  <c r="C31" i="3"/>
  <c r="C73" i="3" s="1"/>
  <c r="E73" i="3" s="1"/>
  <c r="L73" i="3" s="1"/>
  <c r="C25" i="3"/>
  <c r="C51" i="3" s="1"/>
  <c r="C30" i="3"/>
  <c r="E30" i="3" s="1"/>
  <c r="K30" i="3" s="1"/>
  <c r="C22" i="3"/>
  <c r="C72" i="3" s="1"/>
  <c r="E72" i="3" s="1"/>
  <c r="L72" i="3" s="1"/>
  <c r="C24" i="3"/>
  <c r="C16" i="3"/>
  <c r="C36" i="3" s="1"/>
  <c r="E36" i="3" s="1"/>
  <c r="L36" i="3" s="1"/>
  <c r="C15" i="3"/>
  <c r="C21" i="3"/>
  <c r="C19" i="3"/>
  <c r="C70" i="3" s="1"/>
  <c r="C28" i="3"/>
  <c r="C38" i="3" s="1"/>
  <c r="C27" i="3"/>
  <c r="C66" i="3" s="1"/>
  <c r="E66" i="3" s="1"/>
  <c r="C11" i="3"/>
  <c r="C6" i="3"/>
  <c r="C7" i="3"/>
  <c r="C68" i="3" s="1"/>
  <c r="E68" i="3" s="1"/>
  <c r="L68" i="3" s="1"/>
  <c r="C9" i="3"/>
  <c r="C75" i="3" s="1"/>
  <c r="C8" i="3"/>
  <c r="C49" i="3" s="1"/>
  <c r="E49" i="3" s="1"/>
  <c r="L49" i="3" s="1"/>
  <c r="C5" i="3"/>
  <c r="C34" i="3" s="1"/>
  <c r="E34" i="3" s="1"/>
  <c r="L34" i="3" s="1"/>
  <c r="C14" i="3"/>
  <c r="C12" i="3"/>
  <c r="C48" i="3" s="1"/>
  <c r="C47" i="3" s="1"/>
  <c r="I47" i="3" s="1"/>
  <c r="C10" i="3"/>
  <c r="C43" i="3" s="1"/>
  <c r="C13" i="3"/>
  <c r="C41" i="3" s="1"/>
  <c r="E41" i="3" s="1"/>
  <c r="L41" i="3" s="1"/>
  <c r="C32" i="3"/>
  <c r="C37" i="3" s="1"/>
  <c r="C29" i="3"/>
  <c r="C78" i="3" s="1"/>
  <c r="E78" i="3" s="1"/>
  <c r="L78" i="3" s="1"/>
  <c r="C20" i="3"/>
  <c r="C76" i="3" s="1"/>
  <c r="E76" i="3" s="1"/>
  <c r="L76" i="3" s="1"/>
  <c r="C18" i="3"/>
  <c r="C74" i="3" s="1"/>
  <c r="C17" i="3"/>
  <c r="C46" i="3" s="1"/>
  <c r="E46" i="3" s="1"/>
  <c r="L46" i="3" s="1"/>
  <c r="C4" i="3"/>
  <c r="C40" i="3" s="1"/>
  <c r="C30" i="12"/>
  <c r="C16" i="12"/>
  <c r="C36" i="12" s="1"/>
  <c r="E36" i="12" s="1"/>
  <c r="C25" i="12"/>
  <c r="C51" i="12" s="1"/>
  <c r="C27" i="12"/>
  <c r="F27" i="12" s="1"/>
  <c r="C5" i="12"/>
  <c r="C11" i="12"/>
  <c r="C8" i="12"/>
  <c r="F8" i="12" s="1"/>
  <c r="F49" i="12" s="1"/>
  <c r="C31" i="12"/>
  <c r="C17" i="12"/>
  <c r="C46" i="12" s="1"/>
  <c r="C10" i="12"/>
  <c r="C6" i="12"/>
  <c r="C18" i="12"/>
  <c r="C14" i="12"/>
  <c r="C20" i="12"/>
  <c r="C4" i="12"/>
  <c r="C9" i="12"/>
  <c r="F9" i="12" s="1"/>
  <c r="C19" i="12"/>
  <c r="C12" i="12"/>
  <c r="C24" i="12"/>
  <c r="C7" i="12"/>
  <c r="C13" i="12"/>
  <c r="C41" i="12" s="1"/>
  <c r="E41" i="12" s="1"/>
  <c r="C26" i="12"/>
  <c r="C32" i="12"/>
  <c r="C37" i="12" s="1"/>
  <c r="E37" i="12" s="1"/>
  <c r="C23" i="12"/>
  <c r="F23" i="12" s="1"/>
  <c r="C28" i="12"/>
  <c r="C38" i="12" s="1"/>
  <c r="H32" i="15"/>
  <c r="G25" i="12"/>
  <c r="G51" i="12" s="1"/>
  <c r="G19" i="15"/>
  <c r="G31" i="15"/>
  <c r="E15" i="12"/>
  <c r="K15" i="12" s="1"/>
  <c r="K35" i="12" s="1"/>
  <c r="E22" i="12"/>
  <c r="K22" i="12" s="1"/>
  <c r="I23" i="18"/>
  <c r="G23" i="12"/>
  <c r="I27" i="18"/>
  <c r="G17" i="15"/>
  <c r="G46" i="15" s="1"/>
  <c r="H46" i="15" s="1"/>
  <c r="F32" i="15"/>
  <c r="F37" i="15" s="1"/>
  <c r="F13" i="15"/>
  <c r="F41" i="15" s="1"/>
  <c r="G17" i="12"/>
  <c r="G46" i="12" s="1"/>
  <c r="I14" i="18"/>
  <c r="G14" i="12"/>
  <c r="I22" i="18"/>
  <c r="I26" i="18"/>
  <c r="G28" i="12"/>
  <c r="G38" i="12" s="1"/>
  <c r="G29" i="12"/>
  <c r="D24" i="11"/>
  <c r="D29" i="11"/>
  <c r="D28" i="11"/>
  <c r="D26" i="11"/>
  <c r="D23" i="11"/>
  <c r="D15" i="11"/>
  <c r="D32" i="11"/>
  <c r="D22" i="11"/>
  <c r="D27" i="11"/>
  <c r="D18" i="11"/>
  <c r="D8" i="11"/>
  <c r="D31" i="11"/>
  <c r="D25" i="11"/>
  <c r="D19" i="11"/>
  <c r="D9" i="11"/>
  <c r="D4" i="11"/>
  <c r="D30" i="11"/>
  <c r="D21" i="11"/>
  <c r="D7" i="11"/>
  <c r="D11" i="11"/>
  <c r="D6" i="11"/>
  <c r="D20" i="11"/>
  <c r="D10" i="11"/>
  <c r="D16" i="11"/>
  <c r="D5" i="11"/>
  <c r="D12" i="11"/>
  <c r="D17" i="11"/>
  <c r="D13" i="11"/>
  <c r="D14" i="11"/>
  <c r="G8" i="12"/>
  <c r="G49" i="12" s="1"/>
  <c r="G47" i="12" s="1"/>
  <c r="G16" i="12"/>
  <c r="G36" i="12" s="1"/>
  <c r="G30" i="15"/>
  <c r="G45" i="15" s="1"/>
  <c r="F30" i="15"/>
  <c r="F45" i="15" s="1"/>
  <c r="G9" i="12"/>
  <c r="G24" i="15"/>
  <c r="G39" i="15" s="1"/>
  <c r="G32" i="15"/>
  <c r="G37" i="15" s="1"/>
  <c r="D18" i="14"/>
  <c r="D17" i="14"/>
  <c r="D31" i="14"/>
  <c r="D20" i="14"/>
  <c r="D30" i="14"/>
  <c r="D32" i="14"/>
  <c r="D27" i="14"/>
  <c r="D23" i="14"/>
  <c r="D29" i="14"/>
  <c r="D25" i="14"/>
  <c r="D21" i="14"/>
  <c r="D16" i="14"/>
  <c r="D24" i="14"/>
  <c r="D28" i="14"/>
  <c r="D26" i="14"/>
  <c r="D4" i="14"/>
  <c r="D19" i="14"/>
  <c r="D15" i="14"/>
  <c r="D5" i="14"/>
  <c r="D8" i="14"/>
  <c r="D22" i="14"/>
  <c r="D6" i="14"/>
  <c r="D11" i="14"/>
  <c r="E11" i="14" s="1"/>
  <c r="K11" i="14" s="1"/>
  <c r="D14" i="14"/>
  <c r="D13" i="14"/>
  <c r="D9" i="14"/>
  <c r="D12" i="14"/>
  <c r="E12" i="14" s="1"/>
  <c r="K12" i="14" s="1"/>
  <c r="D10" i="14"/>
  <c r="D7" i="14"/>
  <c r="G16" i="15"/>
  <c r="G36" i="15" s="1"/>
  <c r="C25" i="14"/>
  <c r="C21" i="14"/>
  <c r="F21" i="14" s="1"/>
  <c r="F44" i="14" s="1"/>
  <c r="C24" i="14"/>
  <c r="C17" i="14"/>
  <c r="C31" i="14"/>
  <c r="C20" i="14"/>
  <c r="C30" i="14"/>
  <c r="C32" i="14"/>
  <c r="C27" i="14"/>
  <c r="C23" i="14"/>
  <c r="C29" i="14"/>
  <c r="C15" i="14"/>
  <c r="C7" i="14"/>
  <c r="F7" i="14" s="1"/>
  <c r="C12" i="14"/>
  <c r="C6" i="14"/>
  <c r="C5" i="14"/>
  <c r="C22" i="14"/>
  <c r="F22" i="14" s="1"/>
  <c r="C8" i="14"/>
  <c r="C18" i="14"/>
  <c r="C14" i="14"/>
  <c r="C16" i="14"/>
  <c r="C11" i="14"/>
  <c r="C19" i="14"/>
  <c r="C10" i="14"/>
  <c r="C13" i="14"/>
  <c r="C4" i="14"/>
  <c r="C28" i="14"/>
  <c r="F28" i="14" s="1"/>
  <c r="F38" i="14" s="1"/>
  <c r="C26" i="14"/>
  <c r="C9" i="14"/>
  <c r="Q7" i="13"/>
  <c r="P15" i="13"/>
  <c r="P35" i="13" s="1"/>
  <c r="P18" i="13"/>
  <c r="M19" i="13"/>
  <c r="Q22" i="13"/>
  <c r="R23" i="13"/>
  <c r="N23" i="13"/>
  <c r="Q24" i="13"/>
  <c r="Q39" i="13" s="1"/>
  <c r="M28" i="13"/>
  <c r="M38" i="13" s="1"/>
  <c r="P29" i="13"/>
  <c r="O31" i="13"/>
  <c r="M9" i="13"/>
  <c r="P6" i="16"/>
  <c r="P42" i="16" s="1"/>
  <c r="R8" i="16"/>
  <c r="N8" i="16"/>
  <c r="N49" i="16" s="1"/>
  <c r="H9" i="16"/>
  <c r="M9" i="16"/>
  <c r="R15" i="16"/>
  <c r="N15" i="16"/>
  <c r="N35" i="16" s="1"/>
  <c r="O17" i="16"/>
  <c r="O46" i="16" s="1"/>
  <c r="P23" i="16"/>
  <c r="Q24" i="16"/>
  <c r="Q39" i="16" s="1"/>
  <c r="P27" i="16"/>
  <c r="M30" i="16"/>
  <c r="M45" i="16" s="1"/>
  <c r="R5" i="13"/>
  <c r="N5" i="13"/>
  <c r="N34" i="13" s="1"/>
  <c r="Q15" i="13"/>
  <c r="Q35" i="13" s="1"/>
  <c r="Q18" i="13"/>
  <c r="R19" i="13"/>
  <c r="N19" i="13"/>
  <c r="O23" i="13"/>
  <c r="M25" i="13"/>
  <c r="M51" i="13" s="1"/>
  <c r="R28" i="13"/>
  <c r="N28" i="13"/>
  <c r="N38" i="13" s="1"/>
  <c r="Q29" i="13"/>
  <c r="P31" i="13"/>
  <c r="M8" i="13"/>
  <c r="M49" i="13" s="1"/>
  <c r="Q6" i="16"/>
  <c r="Q42" i="16" s="1"/>
  <c r="O8" i="16"/>
  <c r="O49" i="16" s="1"/>
  <c r="R9" i="16"/>
  <c r="N9" i="16"/>
  <c r="M10" i="16"/>
  <c r="M43" i="16" s="1"/>
  <c r="M12" i="16"/>
  <c r="M48" i="16" s="1"/>
  <c r="O15" i="16"/>
  <c r="O35" i="16" s="1"/>
  <c r="M16" i="16"/>
  <c r="M36" i="16" s="1"/>
  <c r="P17" i="16"/>
  <c r="P46" i="16" s="1"/>
  <c r="M21" i="16"/>
  <c r="M44" i="16" s="1"/>
  <c r="Q23" i="16"/>
  <c r="M25" i="16"/>
  <c r="M51" i="16" s="1"/>
  <c r="Q27" i="16"/>
  <c r="R30" i="16"/>
  <c r="N30" i="16"/>
  <c r="N45" i="16" s="1"/>
  <c r="O5" i="13"/>
  <c r="O34" i="13" s="1"/>
  <c r="R12" i="13"/>
  <c r="N12" i="13"/>
  <c r="N48" i="13" s="1"/>
  <c r="O19" i="13"/>
  <c r="P23" i="13"/>
  <c r="R25" i="13"/>
  <c r="N25" i="13"/>
  <c r="N51" i="13" s="1"/>
  <c r="O28" i="13"/>
  <c r="O38" i="13" s="1"/>
  <c r="Q31" i="13"/>
  <c r="M7" i="13"/>
  <c r="M7" i="16"/>
  <c r="P8" i="16"/>
  <c r="P49" i="16" s="1"/>
  <c r="O9" i="16"/>
  <c r="R10" i="16"/>
  <c r="N10" i="16"/>
  <c r="N43" i="16" s="1"/>
  <c r="R12" i="16"/>
  <c r="N12" i="16"/>
  <c r="N48" i="16" s="1"/>
  <c r="P15" i="16"/>
  <c r="P35" i="16" s="1"/>
  <c r="R16" i="16"/>
  <c r="N16" i="16"/>
  <c r="N36" i="16" s="1"/>
  <c r="Q17" i="16"/>
  <c r="Q46" i="16" s="1"/>
  <c r="R21" i="16"/>
  <c r="N21" i="16"/>
  <c r="N44" i="16" s="1"/>
  <c r="R25" i="16"/>
  <c r="N25" i="16"/>
  <c r="N51" i="16" s="1"/>
  <c r="O30" i="16"/>
  <c r="O45" i="16" s="1"/>
  <c r="M32" i="16"/>
  <c r="M37" i="16" s="1"/>
  <c r="P5" i="13"/>
  <c r="P34" i="13" s="1"/>
  <c r="O12" i="13"/>
  <c r="O48" i="13" s="1"/>
  <c r="P19" i="13"/>
  <c r="M21" i="13"/>
  <c r="M44" i="13" s="1"/>
  <c r="Q23" i="13"/>
  <c r="O25" i="13"/>
  <c r="O51" i="13" s="1"/>
  <c r="P28" i="13"/>
  <c r="P38" i="13" s="1"/>
  <c r="M6" i="13"/>
  <c r="M42" i="13" s="1"/>
  <c r="M4" i="16"/>
  <c r="M40" i="16" s="1"/>
  <c r="R7" i="16"/>
  <c r="N7" i="16"/>
  <c r="Q8" i="16"/>
  <c r="Q49" i="16" s="1"/>
  <c r="P9" i="16"/>
  <c r="O10" i="16"/>
  <c r="O43" i="16" s="1"/>
  <c r="O12" i="16"/>
  <c r="O48" i="16" s="1"/>
  <c r="Q15" i="16"/>
  <c r="Q35" i="16" s="1"/>
  <c r="O16" i="16"/>
  <c r="O36" i="16" s="1"/>
  <c r="M18" i="16"/>
  <c r="O21" i="16"/>
  <c r="O44" i="16" s="1"/>
  <c r="O25" i="16"/>
  <c r="O51" i="16" s="1"/>
  <c r="P30" i="16"/>
  <c r="P45" i="16" s="1"/>
  <c r="R32" i="16"/>
  <c r="N32" i="16"/>
  <c r="N37" i="16" s="1"/>
  <c r="Q5" i="13"/>
  <c r="Q34" i="13" s="1"/>
  <c r="R9" i="13"/>
  <c r="N9" i="13"/>
  <c r="R10" i="13"/>
  <c r="N10" i="13"/>
  <c r="N43" i="13" s="1"/>
  <c r="P12" i="13"/>
  <c r="P48" i="13" s="1"/>
  <c r="M17" i="13"/>
  <c r="M46" i="13" s="1"/>
  <c r="Q19" i="13"/>
  <c r="R21" i="13"/>
  <c r="N21" i="13"/>
  <c r="N44" i="13" s="1"/>
  <c r="P25" i="13"/>
  <c r="P51" i="13" s="1"/>
  <c r="M26" i="13"/>
  <c r="Q28" i="13"/>
  <c r="Q38" i="13" s="1"/>
  <c r="M5" i="13"/>
  <c r="M34" i="13" s="1"/>
  <c r="R4" i="16"/>
  <c r="N4" i="16"/>
  <c r="N40" i="16" s="1"/>
  <c r="M5" i="16"/>
  <c r="M34" i="16" s="1"/>
  <c r="O7" i="16"/>
  <c r="Q9" i="16"/>
  <c r="P10" i="16"/>
  <c r="P43" i="16" s="1"/>
  <c r="P12" i="16"/>
  <c r="P48" i="16" s="1"/>
  <c r="P16" i="16"/>
  <c r="P36" i="16" s="1"/>
  <c r="R18" i="16"/>
  <c r="N18" i="16"/>
  <c r="P21" i="16"/>
  <c r="P44" i="16" s="1"/>
  <c r="P25" i="16"/>
  <c r="P51" i="16" s="1"/>
  <c r="M29" i="16"/>
  <c r="Q30" i="16"/>
  <c r="Q45" i="16" s="1"/>
  <c r="O32" i="16"/>
  <c r="O37" i="16" s="1"/>
  <c r="R6" i="13"/>
  <c r="N6" i="13"/>
  <c r="N42" i="13" s="1"/>
  <c r="R8" i="13"/>
  <c r="N8" i="13"/>
  <c r="N49" i="13" s="1"/>
  <c r="O9" i="13"/>
  <c r="O10" i="13"/>
  <c r="O43" i="13" s="1"/>
  <c r="Q8" i="13"/>
  <c r="Q49" i="13" s="1"/>
  <c r="M14" i="13"/>
  <c r="R17" i="13"/>
  <c r="N17" i="13"/>
  <c r="N46" i="13" s="1"/>
  <c r="O21" i="13"/>
  <c r="O44" i="13" s="1"/>
  <c r="Q25" i="13"/>
  <c r="Q51" i="13" s="1"/>
  <c r="R26" i="13"/>
  <c r="N26" i="13"/>
  <c r="M30" i="13"/>
  <c r="M45" i="13" s="1"/>
  <c r="Q4" i="13"/>
  <c r="Q40" i="13" s="1"/>
  <c r="O4" i="16"/>
  <c r="O40" i="16" s="1"/>
  <c r="R5" i="16"/>
  <c r="N5" i="16"/>
  <c r="N34" i="16" s="1"/>
  <c r="P7" i="16"/>
  <c r="Q10" i="16"/>
  <c r="Q43" i="16" s="1"/>
  <c r="Q12" i="16"/>
  <c r="Q48" i="16" s="1"/>
  <c r="Q16" i="16"/>
  <c r="Q36" i="16" s="1"/>
  <c r="O18" i="16"/>
  <c r="M20" i="16"/>
  <c r="Q21" i="16"/>
  <c r="Q44" i="16" s="1"/>
  <c r="Q25" i="16"/>
  <c r="Q51" i="16" s="1"/>
  <c r="R29" i="16"/>
  <c r="N29" i="16"/>
  <c r="M31" i="16"/>
  <c r="P32" i="16"/>
  <c r="P37" i="16" s="1"/>
  <c r="O6" i="13"/>
  <c r="O42" i="13" s="1"/>
  <c r="O8" i="13"/>
  <c r="O49" i="13" s="1"/>
  <c r="P9" i="13"/>
  <c r="P10" i="13"/>
  <c r="P43" i="13" s="1"/>
  <c r="Q12" i="13"/>
  <c r="Q48" i="13" s="1"/>
  <c r="R14" i="13"/>
  <c r="N14" i="13"/>
  <c r="O17" i="13"/>
  <c r="O46" i="13" s="1"/>
  <c r="P21" i="13"/>
  <c r="P44" i="13" s="1"/>
  <c r="O26" i="13"/>
  <c r="R30" i="13"/>
  <c r="N30" i="13"/>
  <c r="N45" i="13" s="1"/>
  <c r="P4" i="13"/>
  <c r="P40" i="13" s="1"/>
  <c r="P4" i="16"/>
  <c r="P40" i="16" s="1"/>
  <c r="O5" i="16"/>
  <c r="O34" i="16" s="1"/>
  <c r="Q7" i="16"/>
  <c r="M11" i="16"/>
  <c r="M14" i="16"/>
  <c r="P18" i="16"/>
  <c r="M19" i="16"/>
  <c r="R20" i="16"/>
  <c r="N20" i="16"/>
  <c r="M22" i="16"/>
  <c r="M26" i="16"/>
  <c r="M28" i="16"/>
  <c r="M38" i="16" s="1"/>
  <c r="O29" i="16"/>
  <c r="R31" i="16"/>
  <c r="N31" i="16"/>
  <c r="Q32" i="16"/>
  <c r="Q37" i="16" s="1"/>
  <c r="P6" i="13"/>
  <c r="P42" i="13" s="1"/>
  <c r="P8" i="13"/>
  <c r="P49" i="13" s="1"/>
  <c r="L9" i="13"/>
  <c r="Q9" i="13"/>
  <c r="Q10" i="13"/>
  <c r="Q43" i="13" s="1"/>
  <c r="O14" i="13"/>
  <c r="M16" i="13"/>
  <c r="M36" i="13" s="1"/>
  <c r="P17" i="13"/>
  <c r="P46" i="13" s="1"/>
  <c r="M20" i="13"/>
  <c r="Q21" i="13"/>
  <c r="Q44" i="13" s="1"/>
  <c r="P26" i="13"/>
  <c r="M27" i="13"/>
  <c r="O30" i="13"/>
  <c r="O45" i="13" s="1"/>
  <c r="M32" i="13"/>
  <c r="M37" i="13" s="1"/>
  <c r="O4" i="13"/>
  <c r="O40" i="13" s="1"/>
  <c r="Q4" i="16"/>
  <c r="Q40" i="16" s="1"/>
  <c r="P5" i="16"/>
  <c r="P34" i="16" s="1"/>
  <c r="R11" i="16"/>
  <c r="N11" i="16"/>
  <c r="M13" i="16"/>
  <c r="M41" i="16" s="1"/>
  <c r="R14" i="16"/>
  <c r="N14" i="16"/>
  <c r="Q18" i="16"/>
  <c r="R19" i="16"/>
  <c r="N19" i="16"/>
  <c r="O20" i="16"/>
  <c r="R22" i="16"/>
  <c r="N22" i="16"/>
  <c r="R26" i="16"/>
  <c r="N26" i="16"/>
  <c r="R28" i="16"/>
  <c r="N28" i="16"/>
  <c r="N38" i="16" s="1"/>
  <c r="P29" i="16"/>
  <c r="O31" i="16"/>
  <c r="Q6" i="13"/>
  <c r="Q42" i="13" s="1"/>
  <c r="R11" i="13"/>
  <c r="N11" i="13"/>
  <c r="R13" i="13"/>
  <c r="N13" i="13"/>
  <c r="N41" i="13" s="1"/>
  <c r="P14" i="13"/>
  <c r="R16" i="13"/>
  <c r="N16" i="13"/>
  <c r="N36" i="13" s="1"/>
  <c r="Q17" i="13"/>
  <c r="Q46" i="13" s="1"/>
  <c r="R20" i="13"/>
  <c r="N20" i="13"/>
  <c r="M22" i="13"/>
  <c r="M24" i="13"/>
  <c r="M39" i="13" s="1"/>
  <c r="Q26" i="13"/>
  <c r="R27" i="13"/>
  <c r="N27" i="13"/>
  <c r="P30" i="13"/>
  <c r="P45" i="13" s="1"/>
  <c r="R32" i="13"/>
  <c r="N32" i="13"/>
  <c r="N37" i="13" s="1"/>
  <c r="M13" i="13"/>
  <c r="M41" i="13" s="1"/>
  <c r="R4" i="13"/>
  <c r="N4" i="13"/>
  <c r="N40" i="13" s="1"/>
  <c r="Q5" i="16"/>
  <c r="Q34" i="16" s="1"/>
  <c r="O11" i="16"/>
  <c r="R13" i="16"/>
  <c r="N13" i="16"/>
  <c r="N41" i="16" s="1"/>
  <c r="O14" i="16"/>
  <c r="O19" i="16"/>
  <c r="P20" i="16"/>
  <c r="O22" i="16"/>
  <c r="M24" i="16"/>
  <c r="M39" i="16" s="1"/>
  <c r="O26" i="16"/>
  <c r="O28" i="16"/>
  <c r="O38" i="16" s="1"/>
  <c r="Q29" i="16"/>
  <c r="P31" i="16"/>
  <c r="N7" i="19"/>
  <c r="R7" i="13"/>
  <c r="N7" i="13"/>
  <c r="O11" i="19"/>
  <c r="O11" i="13"/>
  <c r="O13" i="13"/>
  <c r="O41" i="13" s="1"/>
  <c r="Q14" i="13"/>
  <c r="M15" i="13"/>
  <c r="M35" i="13" s="1"/>
  <c r="O16" i="13"/>
  <c r="O36" i="13" s="1"/>
  <c r="M18" i="13"/>
  <c r="O20" i="13"/>
  <c r="R22" i="13"/>
  <c r="N22" i="13"/>
  <c r="R24" i="13"/>
  <c r="N24" i="13"/>
  <c r="N39" i="13" s="1"/>
  <c r="O27" i="13"/>
  <c r="M29" i="13"/>
  <c r="Q30" i="13"/>
  <c r="Q45" i="13" s="1"/>
  <c r="O32" i="13"/>
  <c r="O37" i="13" s="1"/>
  <c r="M12" i="13"/>
  <c r="M48" i="13" s="1"/>
  <c r="M4" i="13"/>
  <c r="M40" i="13" s="1"/>
  <c r="M6" i="16"/>
  <c r="M42" i="16" s="1"/>
  <c r="P11" i="16"/>
  <c r="O13" i="16"/>
  <c r="O41" i="16" s="1"/>
  <c r="P14" i="16"/>
  <c r="P19" i="16"/>
  <c r="Q20" i="16"/>
  <c r="P22" i="16"/>
  <c r="M23" i="16"/>
  <c r="R24" i="16"/>
  <c r="N24" i="16"/>
  <c r="N39" i="16" s="1"/>
  <c r="P26" i="16"/>
  <c r="M27" i="16"/>
  <c r="P28" i="16"/>
  <c r="P38" i="16" s="1"/>
  <c r="Q31" i="16"/>
  <c r="O7" i="13"/>
  <c r="P11" i="19"/>
  <c r="P11" i="13"/>
  <c r="P13" i="13"/>
  <c r="P41" i="13" s="1"/>
  <c r="R15" i="13"/>
  <c r="N15" i="13"/>
  <c r="N35" i="13" s="1"/>
  <c r="P16" i="13"/>
  <c r="P36" i="13" s="1"/>
  <c r="R18" i="13"/>
  <c r="N18" i="13"/>
  <c r="P20" i="13"/>
  <c r="O22" i="13"/>
  <c r="O24" i="13"/>
  <c r="O39" i="13" s="1"/>
  <c r="P27" i="13"/>
  <c r="R29" i="13"/>
  <c r="N29" i="13"/>
  <c r="M31" i="13"/>
  <c r="P32" i="13"/>
  <c r="P37" i="13" s="1"/>
  <c r="M11" i="13"/>
  <c r="R6" i="16"/>
  <c r="N6" i="16"/>
  <c r="N42" i="16" s="1"/>
  <c r="Q11" i="16"/>
  <c r="P13" i="16"/>
  <c r="P41" i="16" s="1"/>
  <c r="Q14" i="16"/>
  <c r="M17" i="16"/>
  <c r="M46" i="16" s="1"/>
  <c r="Q19" i="16"/>
  <c r="Q22" i="16"/>
  <c r="R23" i="16"/>
  <c r="N23" i="16"/>
  <c r="O24" i="16"/>
  <c r="O39" i="16" s="1"/>
  <c r="Q26" i="16"/>
  <c r="R27" i="16"/>
  <c r="N27" i="16"/>
  <c r="Q28" i="16"/>
  <c r="Q38" i="16" s="1"/>
  <c r="K7" i="13"/>
  <c r="P7" i="13"/>
  <c r="Q11" i="19"/>
  <c r="Q11" i="13"/>
  <c r="Q13" i="13"/>
  <c r="Q41" i="13" s="1"/>
  <c r="O15" i="13"/>
  <c r="O35" i="13" s="1"/>
  <c r="Q16" i="13"/>
  <c r="Q36" i="13" s="1"/>
  <c r="O18" i="13"/>
  <c r="Q20" i="13"/>
  <c r="P22" i="13"/>
  <c r="M23" i="13"/>
  <c r="P24" i="13"/>
  <c r="P39" i="13" s="1"/>
  <c r="Q27" i="13"/>
  <c r="O29" i="13"/>
  <c r="R31" i="13"/>
  <c r="N31" i="13"/>
  <c r="Q32" i="13"/>
  <c r="Q37" i="13" s="1"/>
  <c r="M10" i="13"/>
  <c r="M43" i="13" s="1"/>
  <c r="O6" i="16"/>
  <c r="O42" i="16" s="1"/>
  <c r="M8" i="16"/>
  <c r="M49" i="16" s="1"/>
  <c r="Q13" i="16"/>
  <c r="Q41" i="16" s="1"/>
  <c r="M15" i="16"/>
  <c r="M35" i="16" s="1"/>
  <c r="R17" i="16"/>
  <c r="N17" i="16"/>
  <c r="N46" i="16" s="1"/>
  <c r="O23" i="16"/>
  <c r="P24" i="16"/>
  <c r="P39" i="16" s="1"/>
  <c r="O27" i="16"/>
  <c r="H19" i="15"/>
  <c r="F9" i="15"/>
  <c r="F6" i="15"/>
  <c r="F42" i="15" s="1"/>
  <c r="H42" i="15" s="1"/>
  <c r="F16" i="15"/>
  <c r="F36" i="15" s="1"/>
  <c r="H36" i="15" s="1"/>
  <c r="F21" i="15"/>
  <c r="F44" i="15" s="1"/>
  <c r="H44" i="15" s="1"/>
  <c r="F23" i="15"/>
  <c r="F27" i="15"/>
  <c r="I54" i="4"/>
  <c r="J58" i="4"/>
  <c r="I56" i="4"/>
  <c r="J53" i="4"/>
  <c r="I58" i="4"/>
  <c r="J59" i="4"/>
  <c r="I63" i="4"/>
  <c r="I57" i="4"/>
  <c r="J54" i="4"/>
  <c r="I53" i="4"/>
  <c r="J61" i="4"/>
  <c r="J55" i="4"/>
  <c r="N32" i="10"/>
  <c r="N37" i="10" s="1"/>
  <c r="N31" i="10"/>
  <c r="N27" i="10"/>
  <c r="N25" i="10"/>
  <c r="N51" i="10" s="1"/>
  <c r="N26" i="10"/>
  <c r="N28" i="10"/>
  <c r="N38" i="10" s="1"/>
  <c r="N23" i="10"/>
  <c r="N20" i="10"/>
  <c r="N24" i="10"/>
  <c r="N39" i="10" s="1"/>
  <c r="N22" i="10"/>
  <c r="N19" i="10"/>
  <c r="N18" i="10"/>
  <c r="N4" i="10"/>
  <c r="N40" i="10" s="1"/>
  <c r="N31" i="5"/>
  <c r="N73" i="5" s="1"/>
  <c r="N17" i="10"/>
  <c r="N46" i="10" s="1"/>
  <c r="N29" i="5"/>
  <c r="N78" i="5" s="1"/>
  <c r="N32" i="5"/>
  <c r="N37" i="5" s="1"/>
  <c r="N21" i="10"/>
  <c r="N44" i="10" s="1"/>
  <c r="N14" i="10"/>
  <c r="N13" i="10"/>
  <c r="N41" i="10" s="1"/>
  <c r="N11" i="10"/>
  <c r="N12" i="10"/>
  <c r="N48" i="10" s="1"/>
  <c r="N30" i="5"/>
  <c r="N45" i="5" s="1"/>
  <c r="N29" i="10"/>
  <c r="N10" i="10"/>
  <c r="N43" i="10" s="1"/>
  <c r="N24" i="5"/>
  <c r="N39" i="5" s="1"/>
  <c r="N9" i="10"/>
  <c r="N5" i="10"/>
  <c r="N34" i="10" s="1"/>
  <c r="N15" i="5"/>
  <c r="N35" i="5" s="1"/>
  <c r="N26" i="5"/>
  <c r="N69" i="5" s="1"/>
  <c r="N17" i="5"/>
  <c r="N46" i="5" s="1"/>
  <c r="N23" i="5"/>
  <c r="N67" i="5" s="1"/>
  <c r="N25" i="5"/>
  <c r="N51" i="5" s="1"/>
  <c r="N13" i="5"/>
  <c r="N41" i="5" s="1"/>
  <c r="N22" i="5"/>
  <c r="N72" i="5" s="1"/>
  <c r="N19" i="5"/>
  <c r="N70" i="5" s="1"/>
  <c r="N14" i="5"/>
  <c r="N77" i="5" s="1"/>
  <c r="N20" i="5"/>
  <c r="N76" i="5" s="1"/>
  <c r="N18" i="5"/>
  <c r="N74" i="5" s="1"/>
  <c r="N28" i="5"/>
  <c r="N38" i="5" s="1"/>
  <c r="N21" i="5"/>
  <c r="N44" i="5" s="1"/>
  <c r="N16" i="5"/>
  <c r="N36" i="5" s="1"/>
  <c r="N12" i="5"/>
  <c r="N48" i="5" s="1"/>
  <c r="N10" i="5"/>
  <c r="N43" i="5" s="1"/>
  <c r="N11" i="5"/>
  <c r="N71" i="5" s="1"/>
  <c r="N8" i="5"/>
  <c r="N49" i="5" s="1"/>
  <c r="N9" i="5"/>
  <c r="N75" i="5" s="1"/>
  <c r="N7" i="5"/>
  <c r="N68" i="5" s="1"/>
  <c r="N27" i="5"/>
  <c r="N66" i="5" s="1"/>
  <c r="N5" i="5"/>
  <c r="N34" i="5" s="1"/>
  <c r="N6" i="5"/>
  <c r="N42" i="5" s="1"/>
  <c r="N4" i="5"/>
  <c r="N40" i="5" s="1"/>
  <c r="N7" i="10"/>
  <c r="N15" i="10"/>
  <c r="N35" i="10" s="1"/>
  <c r="N16" i="10"/>
  <c r="N36" i="10" s="1"/>
  <c r="N8" i="10"/>
  <c r="N49" i="10" s="1"/>
  <c r="N6" i="10"/>
  <c r="N42" i="10" s="1"/>
  <c r="N30" i="10"/>
  <c r="N45" i="10" s="1"/>
  <c r="H14" i="8"/>
  <c r="H24" i="8"/>
  <c r="E23" i="8"/>
  <c r="K23" i="8" s="1"/>
  <c r="E16" i="8"/>
  <c r="K16" i="8" s="1"/>
  <c r="H28" i="8"/>
  <c r="K5" i="16"/>
  <c r="K34" i="16" s="1"/>
  <c r="K33" i="16" s="1"/>
  <c r="H28" i="15"/>
  <c r="G11" i="15"/>
  <c r="G8" i="15"/>
  <c r="G49" i="15" s="1"/>
  <c r="E16" i="14"/>
  <c r="F18" i="14"/>
  <c r="E23" i="14"/>
  <c r="K23" i="14" s="1"/>
  <c r="F9" i="14"/>
  <c r="I8" i="10"/>
  <c r="I49" i="10" s="1"/>
  <c r="H9" i="10"/>
  <c r="K6" i="10"/>
  <c r="K42" i="10" s="1"/>
  <c r="L4" i="10"/>
  <c r="L40" i="10" s="1"/>
  <c r="G25" i="9"/>
  <c r="G51" i="9" s="1"/>
  <c r="H29" i="15"/>
  <c r="H17" i="9"/>
  <c r="H21" i="8"/>
  <c r="H30" i="8"/>
  <c r="H8" i="8"/>
  <c r="F29" i="4"/>
  <c r="F78" i="4" s="1"/>
  <c r="H78" i="4" s="1"/>
  <c r="F27" i="4"/>
  <c r="F66" i="4" s="1"/>
  <c r="E4" i="4"/>
  <c r="E15" i="4"/>
  <c r="E32" i="4"/>
  <c r="E23" i="4"/>
  <c r="K23" i="4" s="1"/>
  <c r="K67" i="4" s="1"/>
  <c r="E28" i="4"/>
  <c r="K28" i="4" s="1"/>
  <c r="E17" i="4"/>
  <c r="K17" i="4" s="1"/>
  <c r="H7" i="4"/>
  <c r="K42" i="4"/>
  <c r="E14" i="4"/>
  <c r="K14" i="4" s="1"/>
  <c r="K77" i="4" s="1"/>
  <c r="E16" i="4"/>
  <c r="K16" i="4" s="1"/>
  <c r="E21" i="4"/>
  <c r="E30" i="4"/>
  <c r="K30" i="4" s="1"/>
  <c r="E31" i="4"/>
  <c r="K31" i="4" s="1"/>
  <c r="K73" i="4" s="1"/>
  <c r="J26" i="3"/>
  <c r="J69" i="3" s="1"/>
  <c r="G28" i="3"/>
  <c r="G38" i="3" s="1"/>
  <c r="G19" i="3"/>
  <c r="G70" i="3" s="1"/>
  <c r="D57" i="3"/>
  <c r="D63" i="3"/>
  <c r="G14" i="3"/>
  <c r="G77" i="3" s="1"/>
  <c r="G11" i="3"/>
  <c r="G71" i="3" s="1"/>
  <c r="F32" i="12"/>
  <c r="F37" i="12" s="1"/>
  <c r="H7" i="18"/>
  <c r="F7" i="12"/>
  <c r="H16" i="18"/>
  <c r="F16" i="12"/>
  <c r="F36" i="12" s="1"/>
  <c r="E28" i="12"/>
  <c r="K28" i="12" s="1"/>
  <c r="K38" i="12" s="1"/>
  <c r="F28" i="12"/>
  <c r="F38" i="12" s="1"/>
  <c r="H38" i="12" s="1"/>
  <c r="H32" i="18"/>
  <c r="E32" i="12"/>
  <c r="K32" i="12" s="1"/>
  <c r="K37" i="12" s="1"/>
  <c r="E21" i="12"/>
  <c r="K21" i="12" s="1"/>
  <c r="K44" i="12" s="1"/>
  <c r="H21" i="18"/>
  <c r="F21" i="12"/>
  <c r="F44" i="12" s="1"/>
  <c r="E32" i="8"/>
  <c r="F32" i="8"/>
  <c r="F37" i="8" s="1"/>
  <c r="H37" i="8" s="1"/>
  <c r="H8" i="9"/>
  <c r="I34" i="4"/>
  <c r="F5" i="4"/>
  <c r="F34" i="4" s="1"/>
  <c r="E22" i="8"/>
  <c r="K22" i="8" s="1"/>
  <c r="F22" i="8"/>
  <c r="F31" i="8"/>
  <c r="H21" i="9"/>
  <c r="F22" i="4"/>
  <c r="F72" i="4" s="1"/>
  <c r="H72" i="4" s="1"/>
  <c r="F31" i="4"/>
  <c r="F73" i="4" s="1"/>
  <c r="H73" i="4" s="1"/>
  <c r="I7" i="10"/>
  <c r="G30" i="9"/>
  <c r="G45" i="9" s="1"/>
  <c r="H45" i="9" s="1"/>
  <c r="F24" i="15"/>
  <c r="F39" i="15" s="1"/>
  <c r="G26" i="9"/>
  <c r="G28" i="9"/>
  <c r="G38" i="9" s="1"/>
  <c r="H38" i="9" s="1"/>
  <c r="F26" i="15"/>
  <c r="G7" i="4"/>
  <c r="G68" i="4" s="1"/>
  <c r="H68" i="4" s="1"/>
  <c r="G20" i="15"/>
  <c r="G14" i="15"/>
  <c r="I19" i="18"/>
  <c r="G4" i="15"/>
  <c r="G40" i="15" s="1"/>
  <c r="H40" i="15" s="1"/>
  <c r="F14" i="15"/>
  <c r="G28" i="15"/>
  <c r="G38" i="15" s="1"/>
  <c r="E27" i="3"/>
  <c r="K27" i="3" s="1"/>
  <c r="I27" i="3"/>
  <c r="I66" i="3" s="1"/>
  <c r="F27" i="3"/>
  <c r="F66" i="3" s="1"/>
  <c r="I23" i="3"/>
  <c r="I67" i="3" s="1"/>
  <c r="I18" i="3"/>
  <c r="I74" i="3" s="1"/>
  <c r="F18" i="3"/>
  <c r="F74" i="3" s="1"/>
  <c r="I12" i="3"/>
  <c r="I48" i="3" s="1"/>
  <c r="I10" i="3"/>
  <c r="I43" i="3" s="1"/>
  <c r="F10" i="3"/>
  <c r="F43" i="3" s="1"/>
  <c r="J31" i="3"/>
  <c r="J73" i="3" s="1"/>
  <c r="G31" i="3"/>
  <c r="E29" i="3"/>
  <c r="K29" i="3" s="1"/>
  <c r="K78" i="3" s="1"/>
  <c r="I29" i="3"/>
  <c r="I78" i="3" s="1"/>
  <c r="F29" i="3"/>
  <c r="F78" i="3" s="1"/>
  <c r="J7" i="3"/>
  <c r="J68" i="3" s="1"/>
  <c r="G7" i="3"/>
  <c r="G68" i="3" s="1"/>
  <c r="E31" i="3"/>
  <c r="H31" i="3" s="1"/>
  <c r="I31" i="3"/>
  <c r="I73" i="3" s="1"/>
  <c r="F31" i="3"/>
  <c r="J20" i="3"/>
  <c r="D62" i="3"/>
  <c r="G20" i="3"/>
  <c r="G76" i="3" s="1"/>
  <c r="J15" i="3"/>
  <c r="J35" i="3" s="1"/>
  <c r="G15" i="3"/>
  <c r="G35" i="3" s="1"/>
  <c r="D35" i="3"/>
  <c r="G24" i="3"/>
  <c r="G39" i="3" s="1"/>
  <c r="E28" i="3"/>
  <c r="K28" i="3" s="1"/>
  <c r="K38" i="3" s="1"/>
  <c r="I28" i="3"/>
  <c r="I38" i="3" s="1"/>
  <c r="F28" i="3"/>
  <c r="F38" i="3" s="1"/>
  <c r="I26" i="3"/>
  <c r="F26" i="3"/>
  <c r="F69" i="3" s="1"/>
  <c r="D54" i="3"/>
  <c r="J32" i="3"/>
  <c r="J37" i="3" s="1"/>
  <c r="D37" i="3"/>
  <c r="G32" i="3"/>
  <c r="G37" i="3" s="1"/>
  <c r="E26" i="9"/>
  <c r="K26" i="9" s="1"/>
  <c r="I32" i="3"/>
  <c r="I37" i="3" s="1"/>
  <c r="E32" i="3"/>
  <c r="K32" i="3" s="1"/>
  <c r="K37" i="3" s="1"/>
  <c r="F32" i="3"/>
  <c r="F37" i="3" s="1"/>
  <c r="J27" i="3"/>
  <c r="J66" i="3" s="1"/>
  <c r="G27" i="3"/>
  <c r="D52" i="3"/>
  <c r="J23" i="3"/>
  <c r="J67" i="3" s="1"/>
  <c r="D53" i="3"/>
  <c r="G23" i="3"/>
  <c r="J18" i="3"/>
  <c r="I13" i="3"/>
  <c r="I41" i="3" s="1"/>
  <c r="F13" i="3"/>
  <c r="F41" i="3" s="1"/>
  <c r="J12" i="3"/>
  <c r="J48" i="3" s="1"/>
  <c r="G12" i="3"/>
  <c r="G48" i="3" s="1"/>
  <c r="J10" i="3"/>
  <c r="J43" i="3" s="1"/>
  <c r="G10" i="3"/>
  <c r="G43" i="3" s="1"/>
  <c r="F6" i="3"/>
  <c r="F42" i="3" s="1"/>
  <c r="J22" i="3"/>
  <c r="J72" i="3" s="1"/>
  <c r="G22" i="3"/>
  <c r="J16" i="3"/>
  <c r="J36" i="3" s="1"/>
  <c r="G16" i="3"/>
  <c r="G36" i="3" s="1"/>
  <c r="D44" i="3"/>
  <c r="I25" i="3"/>
  <c r="I51" i="3" s="1"/>
  <c r="E21" i="3"/>
  <c r="K21" i="3" s="1"/>
  <c r="K44" i="3" s="1"/>
  <c r="I21" i="3"/>
  <c r="I44" i="3" s="1"/>
  <c r="E16" i="3"/>
  <c r="K16" i="3" s="1"/>
  <c r="I16" i="3"/>
  <c r="I36" i="3" s="1"/>
  <c r="F16" i="3"/>
  <c r="F36" i="3" s="1"/>
  <c r="J5" i="3"/>
  <c r="J34" i="3" s="1"/>
  <c r="G5" i="3"/>
  <c r="G34" i="3" s="1"/>
  <c r="G25" i="3"/>
  <c r="G51" i="3" s="1"/>
  <c r="J8" i="3"/>
  <c r="J49" i="3" s="1"/>
  <c r="G8" i="3"/>
  <c r="G49" i="3" s="1"/>
  <c r="F8" i="3"/>
  <c r="F49" i="3" s="1"/>
  <c r="D51" i="3"/>
  <c r="D45" i="3"/>
  <c r="J30" i="3"/>
  <c r="J45" i="3" s="1"/>
  <c r="G30" i="3"/>
  <c r="G45" i="3" s="1"/>
  <c r="J13" i="3"/>
  <c r="J41" i="3" s="1"/>
  <c r="G13" i="3"/>
  <c r="G41" i="3" s="1"/>
  <c r="J17" i="3"/>
  <c r="J46" i="3" s="1"/>
  <c r="G17" i="3"/>
  <c r="G46" i="3" s="1"/>
  <c r="E15" i="3"/>
  <c r="K15" i="3" s="1"/>
  <c r="K35" i="3" s="1"/>
  <c r="I15" i="3"/>
  <c r="I35" i="3" s="1"/>
  <c r="J6" i="3"/>
  <c r="J42" i="3" s="1"/>
  <c r="G6" i="3"/>
  <c r="G42" i="3" s="1"/>
  <c r="J64" i="3"/>
  <c r="J57" i="3"/>
  <c r="H8" i="10"/>
  <c r="H49" i="10" s="1"/>
  <c r="H47" i="10" s="1"/>
  <c r="L13" i="10"/>
  <c r="L41" i="10" s="1"/>
  <c r="J23" i="10"/>
  <c r="J27" i="10"/>
  <c r="F15" i="12"/>
  <c r="F35" i="12" s="1"/>
  <c r="H35" i="12" s="1"/>
  <c r="H15" i="18"/>
  <c r="E7" i="12"/>
  <c r="K7" i="12" s="1"/>
  <c r="H28" i="18"/>
  <c r="E16" i="12"/>
  <c r="K16" i="12" s="1"/>
  <c r="K36" i="12" s="1"/>
  <c r="E20" i="12"/>
  <c r="K20" i="12" s="1"/>
  <c r="H20" i="18"/>
  <c r="F20" i="12"/>
  <c r="E31" i="12"/>
  <c r="K31" i="12" s="1"/>
  <c r="H31" i="18"/>
  <c r="F31" i="12"/>
  <c r="F26" i="12"/>
  <c r="H26" i="18"/>
  <c r="E26" i="12"/>
  <c r="K26" i="12" s="1"/>
  <c r="H18" i="18"/>
  <c r="F18" i="12"/>
  <c r="E18" i="12"/>
  <c r="K18" i="12" s="1"/>
  <c r="H28" i="9"/>
  <c r="H15" i="9"/>
  <c r="F17" i="14"/>
  <c r="F46" i="14" s="1"/>
  <c r="F31" i="14"/>
  <c r="F5" i="14"/>
  <c r="F34" i="14" s="1"/>
  <c r="G23" i="15"/>
  <c r="G25" i="4"/>
  <c r="G51" i="4" s="1"/>
  <c r="D55" i="3"/>
  <c r="D58" i="3"/>
  <c r="D56" i="3"/>
  <c r="G28" i="4"/>
  <c r="G38" i="4" s="1"/>
  <c r="G33" i="4" s="1"/>
  <c r="G13" i="15"/>
  <c r="G41" i="15" s="1"/>
  <c r="D47" i="3"/>
  <c r="J47" i="3" s="1"/>
  <c r="E18" i="3"/>
  <c r="K18" i="3" s="1"/>
  <c r="K74" i="3" s="1"/>
  <c r="E13" i="3"/>
  <c r="K13" i="3" s="1"/>
  <c r="E10" i="3"/>
  <c r="K10" i="3" s="1"/>
  <c r="E6" i="3"/>
  <c r="K6" i="3" s="1"/>
  <c r="E26" i="3"/>
  <c r="K26" i="3" s="1"/>
  <c r="K69" i="3" s="1"/>
  <c r="D59" i="3"/>
  <c r="E24" i="3"/>
  <c r="K24" i="3" s="1"/>
  <c r="J13" i="10"/>
  <c r="J41" i="10" s="1"/>
  <c r="H24" i="10"/>
  <c r="H39" i="10" s="1"/>
  <c r="H33" i="10" s="1"/>
  <c r="G13" i="14"/>
  <c r="G41" i="14" s="1"/>
  <c r="J49" i="4"/>
  <c r="F7" i="15"/>
  <c r="F4" i="14"/>
  <c r="F40" i="14" s="1"/>
  <c r="H13" i="18"/>
  <c r="I10" i="16"/>
  <c r="I43" i="16" s="1"/>
  <c r="I33" i="16" s="1"/>
  <c r="G7" i="9"/>
  <c r="E13" i="12"/>
  <c r="H4" i="18"/>
  <c r="E4" i="8"/>
  <c r="I9" i="18"/>
  <c r="E4" i="12"/>
  <c r="F4" i="8"/>
  <c r="F40" i="8" s="1"/>
  <c r="E4" i="9"/>
  <c r="K4" i="9" s="1"/>
  <c r="K40" i="9" s="1"/>
  <c r="H6" i="13"/>
  <c r="H42" i="13" s="1"/>
  <c r="H33" i="13" s="1"/>
  <c r="J12" i="10"/>
  <c r="J48" i="10" s="1"/>
  <c r="J47" i="10" s="1"/>
  <c r="F9" i="4"/>
  <c r="F75" i="4" s="1"/>
  <c r="H75" i="4" s="1"/>
  <c r="G4" i="9"/>
  <c r="G40" i="9" s="1"/>
  <c r="H40" i="9" s="1"/>
  <c r="K11" i="13"/>
  <c r="E7" i="15"/>
  <c r="K7" i="15" s="1"/>
  <c r="G4" i="8"/>
  <c r="G40" i="8" s="1"/>
  <c r="F4" i="12"/>
  <c r="F40" i="12" s="1"/>
  <c r="H11" i="9"/>
  <c r="J9" i="10"/>
  <c r="M6" i="19"/>
  <c r="I7" i="13"/>
  <c r="J13" i="13"/>
  <c r="J41" i="13" s="1"/>
  <c r="J33" i="13" s="1"/>
  <c r="E10" i="12"/>
  <c r="K10" i="12" s="1"/>
  <c r="K43" i="12" s="1"/>
  <c r="J10" i="10"/>
  <c r="J43" i="10" s="1"/>
  <c r="K9" i="10"/>
  <c r="J7" i="13"/>
  <c r="I9" i="16"/>
  <c r="O13" i="19"/>
  <c r="H10" i="18"/>
  <c r="F10" i="12"/>
  <c r="F43" i="12" s="1"/>
  <c r="H43" i="12" s="1"/>
  <c r="G4" i="14"/>
  <c r="G40" i="14" s="1"/>
  <c r="K8" i="16"/>
  <c r="K49" i="16" s="1"/>
  <c r="K47" i="16" s="1"/>
  <c r="E13" i="14"/>
  <c r="K13" i="14" s="1"/>
  <c r="G8" i="4"/>
  <c r="G49" i="4" s="1"/>
  <c r="G47" i="4" s="1"/>
  <c r="G7" i="15"/>
  <c r="L11" i="13"/>
  <c r="P7" i="19"/>
  <c r="H10" i="15"/>
  <c r="L10" i="8"/>
  <c r="L6" i="8"/>
  <c r="F12" i="4"/>
  <c r="F48" i="4" s="1"/>
  <c r="I48" i="4"/>
  <c r="I43" i="4"/>
  <c r="H11" i="15"/>
  <c r="H5" i="18"/>
  <c r="F5" i="12"/>
  <c r="F34" i="12" s="1"/>
  <c r="E12" i="8"/>
  <c r="F12" i="8"/>
  <c r="F48" i="8" s="1"/>
  <c r="E13" i="8"/>
  <c r="K13" i="8" s="1"/>
  <c r="F13" i="8"/>
  <c r="F41" i="8" s="1"/>
  <c r="H10" i="8"/>
  <c r="F10" i="8"/>
  <c r="F43" i="8" s="1"/>
  <c r="H43" i="8" s="1"/>
  <c r="G8" i="14"/>
  <c r="G49" i="14" s="1"/>
  <c r="H6" i="8"/>
  <c r="H9" i="15"/>
  <c r="G10" i="15"/>
  <c r="G43" i="15" s="1"/>
  <c r="H43" i="15" s="1"/>
  <c r="I13" i="13"/>
  <c r="I41" i="13" s="1"/>
  <c r="I33" i="13" s="1"/>
  <c r="J42" i="4"/>
  <c r="N13" i="19"/>
  <c r="F4" i="4"/>
  <c r="F40" i="4" s="1"/>
  <c r="H40" i="4" s="1"/>
  <c r="J34" i="4"/>
  <c r="K10" i="10"/>
  <c r="K43" i="10" s="1"/>
  <c r="F11" i="15"/>
  <c r="G11" i="4"/>
  <c r="G71" i="4" s="1"/>
  <c r="H71" i="4" s="1"/>
  <c r="K4" i="10"/>
  <c r="K40" i="10" s="1"/>
  <c r="H7" i="13"/>
  <c r="M7" i="19"/>
  <c r="J11" i="13"/>
  <c r="I10" i="10"/>
  <c r="I43" i="10" s="1"/>
  <c r="I12" i="10"/>
  <c r="I48" i="10" s="1"/>
  <c r="I47" i="10" s="1"/>
  <c r="J7" i="10"/>
  <c r="H10" i="16"/>
  <c r="H43" i="16" s="1"/>
  <c r="H33" i="16" s="1"/>
  <c r="J8" i="16"/>
  <c r="J49" i="16" s="1"/>
  <c r="J47" i="16" s="1"/>
  <c r="G13" i="8"/>
  <c r="G41" i="8" s="1"/>
  <c r="E7" i="9"/>
  <c r="K7" i="9" s="1"/>
  <c r="K9" i="16"/>
  <c r="H12" i="16"/>
  <c r="H48" i="16" s="1"/>
  <c r="H47" i="16" s="1"/>
  <c r="L6" i="16"/>
  <c r="L42" i="16" s="1"/>
  <c r="L33" i="16" s="1"/>
  <c r="K12" i="10"/>
  <c r="K48" i="10" s="1"/>
  <c r="H20" i="8"/>
  <c r="H15" i="8"/>
  <c r="F18" i="4"/>
  <c r="F74" i="4" s="1"/>
  <c r="H74" i="4" s="1"/>
  <c r="F23" i="14"/>
  <c r="F16" i="14"/>
  <c r="F36" i="14" s="1"/>
  <c r="F27" i="14"/>
  <c r="F11" i="14"/>
  <c r="I15" i="10"/>
  <c r="I35" i="10" s="1"/>
  <c r="K8" i="10"/>
  <c r="K49" i="10" s="1"/>
  <c r="F8" i="15"/>
  <c r="F49" i="15" s="1"/>
  <c r="G25" i="15"/>
  <c r="G51" i="15" s="1"/>
  <c r="I21" i="18"/>
  <c r="G21" i="12"/>
  <c r="G44" i="12" s="1"/>
  <c r="F28" i="15"/>
  <c r="F38" i="15" s="1"/>
  <c r="G27" i="15"/>
  <c r="G20" i="12"/>
  <c r="J22" i="18"/>
  <c r="H22" i="12"/>
  <c r="J27" i="18"/>
  <c r="H29" i="18"/>
  <c r="H22" i="18"/>
  <c r="F22" i="12"/>
  <c r="H27" i="18"/>
  <c r="H19" i="18"/>
  <c r="H9" i="18"/>
  <c r="E29" i="12"/>
  <c r="K29" i="12" s="1"/>
  <c r="F29" i="12"/>
  <c r="H16" i="9"/>
  <c r="E15" i="14"/>
  <c r="G15" i="14"/>
  <c r="G35" i="14" s="1"/>
  <c r="F13" i="14"/>
  <c r="F41" i="14" s="1"/>
  <c r="H19" i="8"/>
  <c r="H8" i="18"/>
  <c r="E8" i="12"/>
  <c r="K8" i="12" s="1"/>
  <c r="K49" i="12" s="1"/>
  <c r="H23" i="18"/>
  <c r="E6" i="12"/>
  <c r="K6" i="12" s="1"/>
  <c r="K42" i="12" s="1"/>
  <c r="E4" i="14"/>
  <c r="K4" i="14" s="1"/>
  <c r="K40" i="14" s="1"/>
  <c r="F11" i="8"/>
  <c r="E11" i="8"/>
  <c r="K11" i="8" s="1"/>
  <c r="E18" i="8"/>
  <c r="K18" i="8" s="1"/>
  <c r="F18" i="8"/>
  <c r="E10" i="14"/>
  <c r="F32" i="14"/>
  <c r="F37" i="14" s="1"/>
  <c r="F10" i="4"/>
  <c r="F43" i="4" s="1"/>
  <c r="H43" i="4" s="1"/>
  <c r="I51" i="4"/>
  <c r="F10" i="9"/>
  <c r="F43" i="9" s="1"/>
  <c r="H43" i="9" s="1"/>
  <c r="G19" i="4"/>
  <c r="G70" i="4" s="1"/>
  <c r="H70" i="4" s="1"/>
  <c r="G22" i="9"/>
  <c r="H12" i="15"/>
  <c r="G22" i="15"/>
  <c r="I16" i="18"/>
  <c r="G7" i="12"/>
  <c r="I31" i="18"/>
  <c r="G31" i="12"/>
  <c r="F12" i="12"/>
  <c r="F48" i="12" s="1"/>
  <c r="H12" i="18"/>
  <c r="H17" i="18"/>
  <c r="F17" i="12"/>
  <c r="F46" i="12" s="1"/>
  <c r="E17" i="12"/>
  <c r="K17" i="12" s="1"/>
  <c r="K46" i="12" s="1"/>
  <c r="H14" i="18"/>
  <c r="F14" i="12"/>
  <c r="E14" i="12"/>
  <c r="K14" i="12" s="1"/>
  <c r="E25" i="12"/>
  <c r="K25" i="12" s="1"/>
  <c r="K51" i="12" s="1"/>
  <c r="F25" i="12"/>
  <c r="F51" i="12" s="1"/>
  <c r="H25" i="18"/>
  <c r="F11" i="12"/>
  <c r="E11" i="12"/>
  <c r="K11" i="12" s="1"/>
  <c r="L27" i="8"/>
  <c r="L5" i="8"/>
  <c r="H9" i="8"/>
  <c r="L9" i="8"/>
  <c r="L7" i="8"/>
  <c r="L26" i="8"/>
  <c r="H17" i="8"/>
  <c r="L17" i="8"/>
  <c r="F25" i="8"/>
  <c r="F51" i="8" s="1"/>
  <c r="E25" i="8"/>
  <c r="G12" i="15"/>
  <c r="G48" i="15" s="1"/>
  <c r="G47" i="15" s="1"/>
  <c r="G11" i="12"/>
  <c r="G4" i="12"/>
  <c r="G40" i="12" s="1"/>
  <c r="F19" i="15"/>
  <c r="I25" i="18"/>
  <c r="E38" i="3"/>
  <c r="L38" i="3" s="1"/>
  <c r="E48" i="3"/>
  <c r="H6" i="4"/>
  <c r="F28" i="4"/>
  <c r="F38" i="4" s="1"/>
  <c r="E43" i="3"/>
  <c r="L43" i="3" s="1"/>
  <c r="F25" i="14"/>
  <c r="F51" i="14" s="1"/>
  <c r="O7" i="19"/>
  <c r="I32" i="18"/>
  <c r="G9" i="15"/>
  <c r="G32" i="12"/>
  <c r="G37" i="12" s="1"/>
  <c r="E40" i="3"/>
  <c r="L40" i="3" s="1"/>
  <c r="H17" i="15"/>
  <c r="H23" i="15"/>
  <c r="H15" i="15"/>
  <c r="O6" i="19"/>
  <c r="Q4" i="19"/>
  <c r="I20" i="18"/>
  <c r="I11" i="18"/>
  <c r="I7" i="18"/>
  <c r="H19" i="9"/>
  <c r="H10" i="9"/>
  <c r="H29" i="8"/>
  <c r="F25" i="3" l="1"/>
  <c r="F51" i="3" s="1"/>
  <c r="F23" i="3"/>
  <c r="E25" i="3"/>
  <c r="E23" i="3"/>
  <c r="K23" i="3" s="1"/>
  <c r="K67" i="3" s="1"/>
  <c r="I20" i="3"/>
  <c r="I76" i="3" s="1"/>
  <c r="G60" i="3"/>
  <c r="E20" i="3"/>
  <c r="K20" i="3" s="1"/>
  <c r="K76" i="3" s="1"/>
  <c r="F7" i="3"/>
  <c r="F68" i="3" s="1"/>
  <c r="H68" i="3" s="1"/>
  <c r="I7" i="3"/>
  <c r="I68" i="3" s="1"/>
  <c r="E7" i="3"/>
  <c r="K7" i="3" s="1"/>
  <c r="K68" i="3" s="1"/>
  <c r="H74" i="3"/>
  <c r="J62" i="4"/>
  <c r="J63" i="4"/>
  <c r="I76" i="9"/>
  <c r="H36" i="12"/>
  <c r="E9" i="12"/>
  <c r="K9" i="12" s="1"/>
  <c r="E27" i="12"/>
  <c r="F13" i="12"/>
  <c r="F41" i="12" s="1"/>
  <c r="H41" i="12" s="1"/>
  <c r="H46" i="12"/>
  <c r="E8" i="14"/>
  <c r="E5" i="14"/>
  <c r="K5" i="14" s="1"/>
  <c r="E56" i="15"/>
  <c r="E59" i="15"/>
  <c r="I22" i="3"/>
  <c r="I72" i="3" s="1"/>
  <c r="F22" i="3"/>
  <c r="F5" i="3"/>
  <c r="F34" i="3" s="1"/>
  <c r="E9" i="3"/>
  <c r="K9" i="3" s="1"/>
  <c r="K75" i="3" s="1"/>
  <c r="J56" i="3"/>
  <c r="I5" i="3"/>
  <c r="I34" i="3" s="1"/>
  <c r="E5" i="3"/>
  <c r="K5" i="3" s="1"/>
  <c r="K34" i="3" s="1"/>
  <c r="F9" i="3"/>
  <c r="F75" i="3" s="1"/>
  <c r="H75" i="3" s="1"/>
  <c r="E22" i="3"/>
  <c r="K22" i="3" s="1"/>
  <c r="K72" i="3" s="1"/>
  <c r="I9" i="3"/>
  <c r="I75" i="3" s="1"/>
  <c r="E46" i="15"/>
  <c r="J54" i="15"/>
  <c r="E52" i="15"/>
  <c r="G11" i="14"/>
  <c r="J78" i="15"/>
  <c r="I67" i="9"/>
  <c r="J71" i="9"/>
  <c r="E74" i="3"/>
  <c r="L74" i="3" s="1"/>
  <c r="E58" i="15"/>
  <c r="E61" i="15"/>
  <c r="E46" i="12"/>
  <c r="E72" i="15"/>
  <c r="E75" i="15"/>
  <c r="I70" i="9"/>
  <c r="E78" i="9"/>
  <c r="H78" i="3"/>
  <c r="J64" i="4"/>
  <c r="E64" i="15"/>
  <c r="E54" i="15"/>
  <c r="G64" i="3"/>
  <c r="J55" i="9"/>
  <c r="E55" i="9"/>
  <c r="E38" i="12"/>
  <c r="C33" i="9"/>
  <c r="I33" i="9" s="1"/>
  <c r="E57" i="9"/>
  <c r="E52" i="9"/>
  <c r="J78" i="9"/>
  <c r="E58" i="9"/>
  <c r="E75" i="9"/>
  <c r="H38" i="15"/>
  <c r="J67" i="9"/>
  <c r="G54" i="3"/>
  <c r="E68" i="15"/>
  <c r="H49" i="15"/>
  <c r="E60" i="15"/>
  <c r="K33" i="10"/>
  <c r="E76" i="15"/>
  <c r="G63" i="3"/>
  <c r="E44" i="15"/>
  <c r="I64" i="9"/>
  <c r="E76" i="9"/>
  <c r="E72" i="4"/>
  <c r="F50" i="9"/>
  <c r="J77" i="15"/>
  <c r="E67" i="15"/>
  <c r="J67" i="15"/>
  <c r="D65" i="12"/>
  <c r="J65" i="12" s="1"/>
  <c r="E72" i="12"/>
  <c r="G61" i="3"/>
  <c r="E37" i="15"/>
  <c r="H5" i="14"/>
  <c r="J33" i="10"/>
  <c r="I50" i="10"/>
  <c r="J73" i="9"/>
  <c r="D33" i="15"/>
  <c r="J33" i="15" s="1"/>
  <c r="H49" i="12"/>
  <c r="E77" i="15"/>
  <c r="H47" i="9"/>
  <c r="J70" i="9"/>
  <c r="E56" i="9"/>
  <c r="E35" i="4"/>
  <c r="D33" i="12"/>
  <c r="J33" i="12" s="1"/>
  <c r="E67" i="9"/>
  <c r="I33" i="10"/>
  <c r="G33" i="12"/>
  <c r="H63" i="9"/>
  <c r="I57" i="9"/>
  <c r="E47" i="9"/>
  <c r="K47" i="9" s="1"/>
  <c r="J73" i="15"/>
  <c r="L50" i="10"/>
  <c r="E77" i="9"/>
  <c r="H62" i="9"/>
  <c r="I73" i="9"/>
  <c r="D65" i="15"/>
  <c r="J65" i="15" s="1"/>
  <c r="F67" i="12"/>
  <c r="F53" i="12"/>
  <c r="G73" i="12"/>
  <c r="G59" i="12"/>
  <c r="K69" i="12"/>
  <c r="K55" i="12"/>
  <c r="J9" i="14"/>
  <c r="D61" i="14"/>
  <c r="D75" i="14"/>
  <c r="J5" i="14"/>
  <c r="J34" i="14" s="1"/>
  <c r="D34" i="14"/>
  <c r="J17" i="14"/>
  <c r="J46" i="14" s="1"/>
  <c r="D46" i="14"/>
  <c r="J8" i="11"/>
  <c r="D49" i="11"/>
  <c r="J32" i="11"/>
  <c r="D37" i="11"/>
  <c r="J29" i="11"/>
  <c r="D64" i="11"/>
  <c r="D78" i="11"/>
  <c r="I30" i="12"/>
  <c r="I45" i="12" s="1"/>
  <c r="C45" i="12"/>
  <c r="E45" i="12" s="1"/>
  <c r="K13" i="15"/>
  <c r="K41" i="15" s="1"/>
  <c r="J62" i="9"/>
  <c r="J61" i="9"/>
  <c r="H64" i="9"/>
  <c r="J71" i="12"/>
  <c r="J57" i="12"/>
  <c r="E72" i="9"/>
  <c r="J61" i="12"/>
  <c r="J75" i="12"/>
  <c r="E74" i="9"/>
  <c r="D33" i="9"/>
  <c r="J33" i="9" s="1"/>
  <c r="F61" i="12"/>
  <c r="F75" i="12"/>
  <c r="G54" i="12"/>
  <c r="G68" i="12"/>
  <c r="E7" i="14"/>
  <c r="K7" i="14" s="1"/>
  <c r="K77" i="12"/>
  <c r="K63" i="12"/>
  <c r="K75" i="12"/>
  <c r="K61" i="12"/>
  <c r="H40" i="12"/>
  <c r="K73" i="12"/>
  <c r="K59" i="12"/>
  <c r="H37" i="12"/>
  <c r="J8" i="14"/>
  <c r="J49" i="14" s="1"/>
  <c r="D49" i="14"/>
  <c r="J4" i="14"/>
  <c r="J40" i="14" s="1"/>
  <c r="D40" i="14"/>
  <c r="J11" i="11"/>
  <c r="D71" i="11"/>
  <c r="D57" i="11"/>
  <c r="J25" i="11"/>
  <c r="D51" i="11"/>
  <c r="E75" i="3"/>
  <c r="L75" i="3" s="1"/>
  <c r="D65" i="4"/>
  <c r="J65" i="4" s="1"/>
  <c r="J64" i="12"/>
  <c r="J78" i="12"/>
  <c r="J73" i="12"/>
  <c r="J59" i="12"/>
  <c r="E58" i="12"/>
  <c r="F63" i="12"/>
  <c r="F77" i="12"/>
  <c r="J21" i="14"/>
  <c r="J44" i="14" s="1"/>
  <c r="D44" i="14"/>
  <c r="J32" i="14"/>
  <c r="J37" i="14" s="1"/>
  <c r="D37" i="14"/>
  <c r="J31" i="14"/>
  <c r="D59" i="14"/>
  <c r="D73" i="14"/>
  <c r="J21" i="11"/>
  <c r="J44" i="11" s="1"/>
  <c r="D44" i="11"/>
  <c r="C67" i="12"/>
  <c r="E67" i="12" s="1"/>
  <c r="C53" i="12"/>
  <c r="E53" i="12" s="1"/>
  <c r="J56" i="12"/>
  <c r="J70" i="12"/>
  <c r="J7" i="11"/>
  <c r="D54" i="11"/>
  <c r="D68" i="11"/>
  <c r="K71" i="12"/>
  <c r="K57" i="12"/>
  <c r="J29" i="14"/>
  <c r="D78" i="14"/>
  <c r="D64" i="14"/>
  <c r="J30" i="14"/>
  <c r="J45" i="14" s="1"/>
  <c r="D45" i="14"/>
  <c r="J5" i="11"/>
  <c r="D34" i="11"/>
  <c r="J30" i="11"/>
  <c r="D45" i="11"/>
  <c r="J19" i="11"/>
  <c r="D56" i="11"/>
  <c r="D70" i="11"/>
  <c r="G78" i="12"/>
  <c r="G64" i="12"/>
  <c r="G77" i="12"/>
  <c r="G63" i="12"/>
  <c r="I9" i="12"/>
  <c r="C75" i="12"/>
  <c r="E75" i="12" s="1"/>
  <c r="C61" i="12"/>
  <c r="E61" i="12" s="1"/>
  <c r="I20" i="12"/>
  <c r="C62" i="12"/>
  <c r="E62" i="12" s="1"/>
  <c r="C76" i="12"/>
  <c r="E76" i="12" s="1"/>
  <c r="I10" i="12"/>
  <c r="I43" i="12" s="1"/>
  <c r="C43" i="12"/>
  <c r="E43" i="12" s="1"/>
  <c r="C52" i="12"/>
  <c r="E52" i="12" s="1"/>
  <c r="C66" i="12"/>
  <c r="E51" i="12"/>
  <c r="J52" i="12"/>
  <c r="J66" i="12"/>
  <c r="G70" i="12"/>
  <c r="G56" i="12"/>
  <c r="E78" i="15"/>
  <c r="J58" i="9"/>
  <c r="E70" i="9"/>
  <c r="J74" i="12"/>
  <c r="J60" i="12"/>
  <c r="D50" i="15"/>
  <c r="J50" i="15" s="1"/>
  <c r="D50" i="12"/>
  <c r="J50" i="12" s="1"/>
  <c r="I58" i="12"/>
  <c r="I72" i="12"/>
  <c r="J26" i="11"/>
  <c r="D69" i="11"/>
  <c r="D55" i="11"/>
  <c r="I19" i="12"/>
  <c r="C70" i="12"/>
  <c r="E70" i="12" s="1"/>
  <c r="C56" i="12"/>
  <c r="E56" i="12" s="1"/>
  <c r="F47" i="12"/>
  <c r="H48" i="12"/>
  <c r="H47" i="12" s="1"/>
  <c r="F72" i="12"/>
  <c r="F58" i="12"/>
  <c r="F71" i="12"/>
  <c r="F57" i="12"/>
  <c r="K64" i="12"/>
  <c r="K78" i="12"/>
  <c r="H44" i="12"/>
  <c r="J18" i="14"/>
  <c r="D60" i="14"/>
  <c r="D74" i="14"/>
  <c r="J12" i="11"/>
  <c r="J48" i="11" s="1"/>
  <c r="D48" i="11"/>
  <c r="D47" i="11" s="1"/>
  <c r="J47" i="11" s="1"/>
  <c r="J23" i="11"/>
  <c r="D53" i="11"/>
  <c r="D67" i="11"/>
  <c r="G67" i="12"/>
  <c r="G53" i="12"/>
  <c r="K72" i="12"/>
  <c r="K58" i="12"/>
  <c r="C69" i="12"/>
  <c r="E69" i="12" s="1"/>
  <c r="C55" i="12"/>
  <c r="E55" i="12" s="1"/>
  <c r="C73" i="12"/>
  <c r="E73" i="12" s="1"/>
  <c r="C59" i="12"/>
  <c r="E59" i="12" s="1"/>
  <c r="G52" i="12"/>
  <c r="G66" i="12"/>
  <c r="E78" i="4"/>
  <c r="J50" i="16"/>
  <c r="H76" i="9"/>
  <c r="E78" i="12"/>
  <c r="J76" i="12"/>
  <c r="J62" i="12"/>
  <c r="F55" i="12"/>
  <c r="F69" i="12"/>
  <c r="H51" i="12"/>
  <c r="K60" i="12"/>
  <c r="K74" i="12"/>
  <c r="F62" i="12"/>
  <c r="F76" i="12"/>
  <c r="J12" i="14"/>
  <c r="J48" i="14" s="1"/>
  <c r="D48" i="14"/>
  <c r="J6" i="14"/>
  <c r="J42" i="14" s="1"/>
  <c r="D42" i="14"/>
  <c r="J15" i="14"/>
  <c r="J35" i="14" s="1"/>
  <c r="D35" i="14"/>
  <c r="J22" i="11"/>
  <c r="D58" i="11"/>
  <c r="D72" i="11"/>
  <c r="J28" i="11"/>
  <c r="D38" i="11"/>
  <c r="I8" i="12"/>
  <c r="I49" i="12" s="1"/>
  <c r="C49" i="12"/>
  <c r="E49" i="12" s="1"/>
  <c r="E36" i="4"/>
  <c r="E62" i="15"/>
  <c r="I50" i="13"/>
  <c r="E73" i="9"/>
  <c r="E64" i="12"/>
  <c r="C50" i="9"/>
  <c r="I50" i="9" s="1"/>
  <c r="G57" i="12"/>
  <c r="G71" i="12"/>
  <c r="F60" i="12"/>
  <c r="H60" i="12" s="1"/>
  <c r="F74" i="12"/>
  <c r="H74" i="12" s="1"/>
  <c r="H38" i="3"/>
  <c r="J11" i="14"/>
  <c r="D71" i="14"/>
  <c r="D57" i="14"/>
  <c r="J19" i="14"/>
  <c r="D70" i="14"/>
  <c r="D56" i="14"/>
  <c r="J20" i="14"/>
  <c r="D76" i="14"/>
  <c r="D62" i="14"/>
  <c r="J17" i="11"/>
  <c r="D46" i="11"/>
  <c r="J10" i="11"/>
  <c r="D43" i="11"/>
  <c r="I7" i="12"/>
  <c r="C54" i="12"/>
  <c r="E54" i="12" s="1"/>
  <c r="C68" i="12"/>
  <c r="E68" i="12" s="1"/>
  <c r="I4" i="12"/>
  <c r="I40" i="12" s="1"/>
  <c r="C40" i="12"/>
  <c r="E40" i="12" s="1"/>
  <c r="G33" i="9"/>
  <c r="H50" i="13"/>
  <c r="E59" i="9"/>
  <c r="E63" i="9"/>
  <c r="I64" i="12"/>
  <c r="I78" i="12"/>
  <c r="E39" i="9"/>
  <c r="E33" i="9" s="1"/>
  <c r="K33" i="9" s="1"/>
  <c r="E66" i="9"/>
  <c r="C65" i="9"/>
  <c r="I65" i="9" s="1"/>
  <c r="J53" i="12"/>
  <c r="J67" i="12"/>
  <c r="F66" i="12"/>
  <c r="F52" i="12"/>
  <c r="G76" i="12"/>
  <c r="G62" i="12"/>
  <c r="K76" i="12"/>
  <c r="K62" i="12"/>
  <c r="J52" i="4"/>
  <c r="G33" i="15"/>
  <c r="D54" i="14"/>
  <c r="J7" i="14"/>
  <c r="D68" i="14"/>
  <c r="J26" i="14"/>
  <c r="D69" i="14"/>
  <c r="D55" i="14"/>
  <c r="J25" i="14"/>
  <c r="J51" i="14" s="1"/>
  <c r="D51" i="14"/>
  <c r="G75" i="12"/>
  <c r="G61" i="12"/>
  <c r="J18" i="11"/>
  <c r="D74" i="11"/>
  <c r="D60" i="11"/>
  <c r="I12" i="12"/>
  <c r="I48" i="12" s="1"/>
  <c r="C48" i="12"/>
  <c r="J69" i="12"/>
  <c r="J55" i="12"/>
  <c r="J58" i="12"/>
  <c r="J72" i="12"/>
  <c r="H56" i="8"/>
  <c r="J68" i="12"/>
  <c r="J54" i="12"/>
  <c r="J10" i="14"/>
  <c r="J43" i="14" s="1"/>
  <c r="D43" i="14"/>
  <c r="J13" i="14"/>
  <c r="J41" i="14" s="1"/>
  <c r="D41" i="14"/>
  <c r="J16" i="14"/>
  <c r="J36" i="14" s="1"/>
  <c r="D36" i="14"/>
  <c r="J16" i="11"/>
  <c r="D36" i="11"/>
  <c r="J9" i="11"/>
  <c r="D75" i="11"/>
  <c r="D61" i="11"/>
  <c r="J15" i="11"/>
  <c r="J35" i="11" s="1"/>
  <c r="D35" i="11"/>
  <c r="I14" i="12"/>
  <c r="C77" i="12"/>
  <c r="E77" i="12" s="1"/>
  <c r="C63" i="12"/>
  <c r="E63" i="12" s="1"/>
  <c r="I5" i="12"/>
  <c r="I34" i="12" s="1"/>
  <c r="C34" i="12"/>
  <c r="G69" i="12"/>
  <c r="G55" i="12"/>
  <c r="G58" i="12"/>
  <c r="G72" i="12"/>
  <c r="E62" i="9"/>
  <c r="E71" i="9"/>
  <c r="D50" i="9"/>
  <c r="J50" i="9" s="1"/>
  <c r="F78" i="12"/>
  <c r="F64" i="12"/>
  <c r="H64" i="12" s="1"/>
  <c r="H34" i="12"/>
  <c r="F54" i="12"/>
  <c r="F68" i="12"/>
  <c r="H68" i="12" s="1"/>
  <c r="L33" i="10"/>
  <c r="D63" i="14"/>
  <c r="D77" i="14"/>
  <c r="J14" i="14"/>
  <c r="J22" i="14"/>
  <c r="D58" i="14"/>
  <c r="D72" i="14"/>
  <c r="J13" i="11"/>
  <c r="D41" i="11"/>
  <c r="J6" i="11"/>
  <c r="D42" i="11"/>
  <c r="J27" i="11"/>
  <c r="D52" i="11"/>
  <c r="D66" i="11"/>
  <c r="I6" i="12"/>
  <c r="I42" i="12" s="1"/>
  <c r="C42" i="12"/>
  <c r="E42" i="12" s="1"/>
  <c r="E63" i="15"/>
  <c r="J77" i="12"/>
  <c r="J63" i="12"/>
  <c r="E69" i="9"/>
  <c r="E53" i="9"/>
  <c r="E19" i="12"/>
  <c r="K19" i="12" s="1"/>
  <c r="K54" i="12"/>
  <c r="K68" i="12"/>
  <c r="J28" i="14"/>
  <c r="J38" i="14" s="1"/>
  <c r="D38" i="14"/>
  <c r="J27" i="14"/>
  <c r="D66" i="14"/>
  <c r="D52" i="14"/>
  <c r="J14" i="11"/>
  <c r="D77" i="11"/>
  <c r="D63" i="11"/>
  <c r="J20" i="11"/>
  <c r="D76" i="11"/>
  <c r="D62" i="11"/>
  <c r="K26" i="15"/>
  <c r="K55" i="15" s="1"/>
  <c r="E54" i="9"/>
  <c r="D65" i="9"/>
  <c r="J65" i="9" s="1"/>
  <c r="F19" i="12"/>
  <c r="F73" i="12"/>
  <c r="F59" i="12"/>
  <c r="H59" i="12" s="1"/>
  <c r="J24" i="14"/>
  <c r="J39" i="14" s="1"/>
  <c r="D39" i="14"/>
  <c r="J23" i="14"/>
  <c r="D53" i="14"/>
  <c r="D67" i="14"/>
  <c r="J4" i="11"/>
  <c r="D40" i="11"/>
  <c r="J31" i="11"/>
  <c r="D73" i="11"/>
  <c r="D59" i="11"/>
  <c r="J24" i="11"/>
  <c r="J39" i="11" s="1"/>
  <c r="D39" i="11"/>
  <c r="I24" i="12"/>
  <c r="I39" i="12" s="1"/>
  <c r="C39" i="12"/>
  <c r="E39" i="12" s="1"/>
  <c r="I18" i="12"/>
  <c r="C60" i="12"/>
  <c r="E60" i="12" s="1"/>
  <c r="C74" i="12"/>
  <c r="E74" i="12" s="1"/>
  <c r="C71" i="12"/>
  <c r="E71" i="12" s="1"/>
  <c r="C57" i="12"/>
  <c r="E57" i="12" s="1"/>
  <c r="H67" i="8"/>
  <c r="E61" i="9"/>
  <c r="E68" i="9"/>
  <c r="E60" i="9"/>
  <c r="G56" i="3"/>
  <c r="L66" i="3"/>
  <c r="D65" i="3"/>
  <c r="F65" i="4"/>
  <c r="E38" i="4"/>
  <c r="G65" i="4"/>
  <c r="E37" i="4"/>
  <c r="E70" i="4"/>
  <c r="C65" i="4"/>
  <c r="E45" i="4"/>
  <c r="I55" i="4"/>
  <c r="J60" i="4"/>
  <c r="I62" i="4"/>
  <c r="H75" i="8"/>
  <c r="H16" i="8"/>
  <c r="H78" i="9"/>
  <c r="K77" i="9"/>
  <c r="K63" i="9"/>
  <c r="K68" i="9"/>
  <c r="K54" i="9"/>
  <c r="G69" i="9"/>
  <c r="H69" i="9" s="1"/>
  <c r="G55" i="9"/>
  <c r="H55" i="9" s="1"/>
  <c r="F68" i="9"/>
  <c r="F54" i="9"/>
  <c r="F67" i="9"/>
  <c r="F53" i="9"/>
  <c r="H53" i="9" s="1"/>
  <c r="G68" i="9"/>
  <c r="G54" i="9"/>
  <c r="F33" i="9"/>
  <c r="H35" i="9"/>
  <c r="H33" i="9" s="1"/>
  <c r="H51" i="9"/>
  <c r="H56" i="9"/>
  <c r="G47" i="9"/>
  <c r="F73" i="9"/>
  <c r="H73" i="9" s="1"/>
  <c r="F59" i="9"/>
  <c r="H59" i="9" s="1"/>
  <c r="H70" i="9"/>
  <c r="G58" i="9"/>
  <c r="G72" i="9"/>
  <c r="K67" i="9"/>
  <c r="K53" i="9"/>
  <c r="G60" i="9"/>
  <c r="H60" i="9" s="1"/>
  <c r="G74" i="9"/>
  <c r="H74" i="9" s="1"/>
  <c r="F58" i="9"/>
  <c r="F72" i="9"/>
  <c r="K75" i="9"/>
  <c r="K61" i="9"/>
  <c r="G71" i="9"/>
  <c r="H71" i="9" s="1"/>
  <c r="G57" i="9"/>
  <c r="H57" i="9" s="1"/>
  <c r="F66" i="9"/>
  <c r="H66" i="9" s="1"/>
  <c r="F52" i="9"/>
  <c r="H52" i="9" s="1"/>
  <c r="K69" i="9"/>
  <c r="K55" i="9"/>
  <c r="G61" i="9"/>
  <c r="H61" i="9" s="1"/>
  <c r="G75" i="9"/>
  <c r="H75" i="9" s="1"/>
  <c r="H77" i="9"/>
  <c r="K75" i="10"/>
  <c r="K65" i="10" s="1"/>
  <c r="K61" i="10"/>
  <c r="K50" i="10" s="1"/>
  <c r="J53" i="10"/>
  <c r="J67" i="10"/>
  <c r="N70" i="10"/>
  <c r="N56" i="10"/>
  <c r="N78" i="10"/>
  <c r="N64" i="10"/>
  <c r="N58" i="10"/>
  <c r="N72" i="10"/>
  <c r="K47" i="10"/>
  <c r="J52" i="10"/>
  <c r="J66" i="10"/>
  <c r="H75" i="10"/>
  <c r="H65" i="10" s="1"/>
  <c r="H61" i="10"/>
  <c r="H50" i="10" s="1"/>
  <c r="N71" i="10"/>
  <c r="N57" i="10"/>
  <c r="N73" i="10"/>
  <c r="N59" i="10"/>
  <c r="N75" i="10"/>
  <c r="N61" i="10"/>
  <c r="N77" i="10"/>
  <c r="N63" i="10"/>
  <c r="N76" i="10"/>
  <c r="N62" i="10"/>
  <c r="N53" i="10"/>
  <c r="N67" i="10"/>
  <c r="I68" i="10"/>
  <c r="I54" i="10"/>
  <c r="N66" i="10"/>
  <c r="N52" i="10"/>
  <c r="I65" i="10"/>
  <c r="J75" i="10"/>
  <c r="J61" i="10"/>
  <c r="L65" i="10"/>
  <c r="J68" i="10"/>
  <c r="J54" i="10"/>
  <c r="N68" i="10"/>
  <c r="N54" i="10"/>
  <c r="N74" i="10"/>
  <c r="N60" i="10"/>
  <c r="N69" i="10"/>
  <c r="N55" i="10"/>
  <c r="Q62" i="13"/>
  <c r="Q76" i="13"/>
  <c r="M78" i="13"/>
  <c r="M64" i="13"/>
  <c r="P69" i="13"/>
  <c r="P55" i="13"/>
  <c r="O69" i="13"/>
  <c r="O55" i="13"/>
  <c r="P75" i="13"/>
  <c r="P61" i="13"/>
  <c r="N69" i="13"/>
  <c r="N55" i="13"/>
  <c r="O75" i="13"/>
  <c r="O61" i="13"/>
  <c r="P70" i="13"/>
  <c r="P56" i="13"/>
  <c r="P59" i="13"/>
  <c r="P73" i="13"/>
  <c r="N76" i="13"/>
  <c r="N62" i="13"/>
  <c r="M76" i="13"/>
  <c r="M62" i="13"/>
  <c r="Q71" i="13"/>
  <c r="Q57" i="13"/>
  <c r="N66" i="13"/>
  <c r="N52" i="13"/>
  <c r="M72" i="13"/>
  <c r="M58" i="13"/>
  <c r="N53" i="13"/>
  <c r="N67" i="13"/>
  <c r="M56" i="13"/>
  <c r="M70" i="13"/>
  <c r="Q55" i="13"/>
  <c r="Q69" i="13"/>
  <c r="O77" i="13"/>
  <c r="O63" i="13"/>
  <c r="Q78" i="13"/>
  <c r="Q64" i="13"/>
  <c r="Q72" i="13"/>
  <c r="Q58" i="13"/>
  <c r="H65" i="13"/>
  <c r="O66" i="13"/>
  <c r="O52" i="13"/>
  <c r="M74" i="13"/>
  <c r="M60" i="13"/>
  <c r="Q75" i="13"/>
  <c r="Q61" i="13"/>
  <c r="N75" i="13"/>
  <c r="N61" i="13"/>
  <c r="Q53" i="13"/>
  <c r="Q67" i="13"/>
  <c r="P74" i="13"/>
  <c r="P60" i="13"/>
  <c r="L71" i="13"/>
  <c r="L57" i="13"/>
  <c r="N72" i="13"/>
  <c r="N58" i="13"/>
  <c r="P77" i="13"/>
  <c r="P63" i="13"/>
  <c r="L75" i="13"/>
  <c r="L61" i="13"/>
  <c r="Q68" i="13"/>
  <c r="Q54" i="13"/>
  <c r="I65" i="13"/>
  <c r="H68" i="13"/>
  <c r="H54" i="13"/>
  <c r="M71" i="13"/>
  <c r="M57" i="13"/>
  <c r="M75" i="13"/>
  <c r="M61" i="13"/>
  <c r="O59" i="13"/>
  <c r="O73" i="13"/>
  <c r="M73" i="13"/>
  <c r="M59" i="13"/>
  <c r="N74" i="13"/>
  <c r="N60" i="13"/>
  <c r="O68" i="13"/>
  <c r="O54" i="13"/>
  <c r="O62" i="13"/>
  <c r="O76" i="13"/>
  <c r="Q77" i="13"/>
  <c r="Q63" i="13"/>
  <c r="Q73" i="13"/>
  <c r="Q59" i="13"/>
  <c r="N56" i="13"/>
  <c r="N70" i="13"/>
  <c r="P78" i="13"/>
  <c r="P64" i="13"/>
  <c r="I54" i="13"/>
  <c r="I68" i="13"/>
  <c r="Q52" i="13"/>
  <c r="Q66" i="13"/>
  <c r="M53" i="13"/>
  <c r="M67" i="13"/>
  <c r="N78" i="13"/>
  <c r="N64" i="13"/>
  <c r="N77" i="13"/>
  <c r="N63" i="13"/>
  <c r="M68" i="13"/>
  <c r="M54" i="13"/>
  <c r="J54" i="13"/>
  <c r="J68" i="13"/>
  <c r="N59" i="13"/>
  <c r="N73" i="13"/>
  <c r="P72" i="13"/>
  <c r="P58" i="13"/>
  <c r="P68" i="13"/>
  <c r="P54" i="13"/>
  <c r="P71" i="13"/>
  <c r="P57" i="13"/>
  <c r="O71" i="13"/>
  <c r="O57" i="13"/>
  <c r="N68" i="13"/>
  <c r="N54" i="13"/>
  <c r="Q74" i="13"/>
  <c r="Q60" i="13"/>
  <c r="K57" i="13"/>
  <c r="K50" i="13" s="1"/>
  <c r="K71" i="13"/>
  <c r="K65" i="13" s="1"/>
  <c r="O74" i="13"/>
  <c r="O60" i="13"/>
  <c r="K68" i="13"/>
  <c r="K54" i="13"/>
  <c r="P52" i="13"/>
  <c r="P66" i="13"/>
  <c r="O72" i="13"/>
  <c r="O58" i="13"/>
  <c r="M69" i="13"/>
  <c r="M55" i="13"/>
  <c r="Q70" i="13"/>
  <c r="Q56" i="13"/>
  <c r="O56" i="13"/>
  <c r="O70" i="13"/>
  <c r="O67" i="13"/>
  <c r="O53" i="13"/>
  <c r="J57" i="13"/>
  <c r="J50" i="13" s="1"/>
  <c r="J71" i="13"/>
  <c r="J65" i="13" s="1"/>
  <c r="O78" i="13"/>
  <c r="O64" i="13"/>
  <c r="P62" i="13"/>
  <c r="P76" i="13"/>
  <c r="N57" i="13"/>
  <c r="N71" i="13"/>
  <c r="M66" i="13"/>
  <c r="M52" i="13"/>
  <c r="M63" i="13"/>
  <c r="M77" i="13"/>
  <c r="P67" i="13"/>
  <c r="P53" i="13"/>
  <c r="G74" i="15"/>
  <c r="H74" i="15" s="1"/>
  <c r="G60" i="15"/>
  <c r="H60" i="15" s="1"/>
  <c r="G75" i="15"/>
  <c r="G61" i="15"/>
  <c r="H41" i="15"/>
  <c r="G78" i="15"/>
  <c r="G64" i="15"/>
  <c r="J74" i="15"/>
  <c r="J60" i="15"/>
  <c r="H39" i="15"/>
  <c r="G71" i="15"/>
  <c r="G57" i="15"/>
  <c r="G55" i="15"/>
  <c r="G69" i="15"/>
  <c r="G52" i="15"/>
  <c r="G66" i="15"/>
  <c r="G72" i="15"/>
  <c r="H72" i="15" s="1"/>
  <c r="G58" i="15"/>
  <c r="H58" i="15" s="1"/>
  <c r="G63" i="15"/>
  <c r="G77" i="15"/>
  <c r="G67" i="15"/>
  <c r="G53" i="15"/>
  <c r="G68" i="15"/>
  <c r="G54" i="15"/>
  <c r="G76" i="15"/>
  <c r="G62" i="15"/>
  <c r="H37" i="15"/>
  <c r="H45" i="15"/>
  <c r="G59" i="15"/>
  <c r="H59" i="15" s="1"/>
  <c r="G73" i="15"/>
  <c r="H73" i="15" s="1"/>
  <c r="G70" i="15"/>
  <c r="G56" i="15"/>
  <c r="J55" i="15"/>
  <c r="J69" i="15"/>
  <c r="Q63" i="16"/>
  <c r="Q77" i="16"/>
  <c r="P55" i="16"/>
  <c r="P69" i="16"/>
  <c r="P72" i="16"/>
  <c r="P58" i="16"/>
  <c r="N69" i="16"/>
  <c r="N55" i="16"/>
  <c r="O76" i="16"/>
  <c r="O62" i="16"/>
  <c r="N68" i="16"/>
  <c r="N54" i="16"/>
  <c r="M68" i="16"/>
  <c r="M54" i="16"/>
  <c r="Q67" i="16"/>
  <c r="Q53" i="16"/>
  <c r="M52" i="16"/>
  <c r="M66" i="16"/>
  <c r="P63" i="16"/>
  <c r="P77" i="16"/>
  <c r="Q55" i="16"/>
  <c r="Q69" i="16"/>
  <c r="Q72" i="16"/>
  <c r="Q58" i="16"/>
  <c r="P71" i="16"/>
  <c r="P57" i="16"/>
  <c r="Q64" i="16"/>
  <c r="Q78" i="16"/>
  <c r="Q75" i="16"/>
  <c r="Q61" i="16"/>
  <c r="L50" i="16"/>
  <c r="O52" i="16"/>
  <c r="O66" i="16"/>
  <c r="Q71" i="16"/>
  <c r="Q57" i="16"/>
  <c r="M64" i="16"/>
  <c r="M78" i="16"/>
  <c r="P75" i="16"/>
  <c r="P61" i="16"/>
  <c r="O61" i="16"/>
  <c r="O75" i="16"/>
  <c r="K61" i="16"/>
  <c r="K50" i="16" s="1"/>
  <c r="K75" i="16"/>
  <c r="K65" i="16" s="1"/>
  <c r="O53" i="16"/>
  <c r="O67" i="16"/>
  <c r="Q59" i="16"/>
  <c r="Q73" i="16"/>
  <c r="Q76" i="16"/>
  <c r="Q62" i="16"/>
  <c r="M56" i="16"/>
  <c r="M70" i="16"/>
  <c r="M73" i="16"/>
  <c r="M59" i="16"/>
  <c r="N52" i="16"/>
  <c r="N66" i="16"/>
  <c r="P60" i="16"/>
  <c r="P74" i="16"/>
  <c r="N64" i="16"/>
  <c r="N78" i="16"/>
  <c r="J65" i="16"/>
  <c r="O73" i="16"/>
  <c r="O59" i="16"/>
  <c r="M69" i="16"/>
  <c r="M55" i="16"/>
  <c r="M72" i="16"/>
  <c r="M58" i="16"/>
  <c r="N60" i="16"/>
  <c r="N74" i="16"/>
  <c r="P64" i="16"/>
  <c r="P78" i="16"/>
  <c r="N76" i="16"/>
  <c r="N62" i="16"/>
  <c r="N53" i="16"/>
  <c r="N67" i="16"/>
  <c r="M67" i="16"/>
  <c r="M53" i="16"/>
  <c r="N57" i="16"/>
  <c r="N71" i="16"/>
  <c r="O64" i="16"/>
  <c r="O78" i="16"/>
  <c r="M76" i="16"/>
  <c r="M62" i="16"/>
  <c r="O69" i="16"/>
  <c r="O55" i="16"/>
  <c r="O56" i="16"/>
  <c r="O70" i="16"/>
  <c r="M77" i="16"/>
  <c r="M63" i="16"/>
  <c r="Q68" i="16"/>
  <c r="Q54" i="16"/>
  <c r="N61" i="16"/>
  <c r="N75" i="16"/>
  <c r="I75" i="16"/>
  <c r="I65" i="16" s="1"/>
  <c r="I61" i="16"/>
  <c r="I50" i="16" s="1"/>
  <c r="O72" i="16"/>
  <c r="O58" i="16"/>
  <c r="N56" i="16"/>
  <c r="N70" i="16"/>
  <c r="M71" i="16"/>
  <c r="M57" i="16"/>
  <c r="O60" i="16"/>
  <c r="O74" i="16"/>
  <c r="M60" i="16"/>
  <c r="M74" i="16"/>
  <c r="P76" i="16"/>
  <c r="P62" i="16"/>
  <c r="O77" i="16"/>
  <c r="O63" i="16"/>
  <c r="N73" i="16"/>
  <c r="N59" i="16"/>
  <c r="P52" i="16"/>
  <c r="P66" i="16"/>
  <c r="P67" i="16"/>
  <c r="P53" i="16"/>
  <c r="M61" i="16"/>
  <c r="M75" i="16"/>
  <c r="L65" i="16"/>
  <c r="Q56" i="16"/>
  <c r="Q70" i="16"/>
  <c r="P56" i="16"/>
  <c r="P70" i="16"/>
  <c r="P59" i="16"/>
  <c r="P73" i="16"/>
  <c r="O57" i="16"/>
  <c r="O71" i="16"/>
  <c r="N72" i="16"/>
  <c r="N58" i="16"/>
  <c r="Q60" i="16"/>
  <c r="Q74" i="16"/>
  <c r="N77" i="16"/>
  <c r="N63" i="16"/>
  <c r="P54" i="16"/>
  <c r="P68" i="16"/>
  <c r="O68" i="16"/>
  <c r="O54" i="16"/>
  <c r="Q52" i="16"/>
  <c r="Q66" i="16"/>
  <c r="H75" i="16"/>
  <c r="H65" i="16" s="1"/>
  <c r="H61" i="16"/>
  <c r="H50" i="16" s="1"/>
  <c r="F14" i="14"/>
  <c r="F63" i="14" s="1"/>
  <c r="E29" i="14"/>
  <c r="K29" i="14" s="1"/>
  <c r="F29" i="14"/>
  <c r="F78" i="14" s="1"/>
  <c r="L5" i="14"/>
  <c r="F8" i="14"/>
  <c r="F49" i="14" s="1"/>
  <c r="H49" i="14" s="1"/>
  <c r="F19" i="14"/>
  <c r="F56" i="14" s="1"/>
  <c r="I26" i="14"/>
  <c r="C55" i="14"/>
  <c r="C69" i="14"/>
  <c r="C40" i="14"/>
  <c r="I4" i="14"/>
  <c r="I40" i="14" s="1"/>
  <c r="C74" i="14"/>
  <c r="I18" i="14"/>
  <c r="C60" i="14"/>
  <c r="I15" i="14"/>
  <c r="I35" i="14" s="1"/>
  <c r="C35" i="14"/>
  <c r="C75" i="14"/>
  <c r="I9" i="14"/>
  <c r="C61" i="14"/>
  <c r="I19" i="14"/>
  <c r="C56" i="14"/>
  <c r="C70" i="14"/>
  <c r="I8" i="14"/>
  <c r="I49" i="14" s="1"/>
  <c r="C49" i="14"/>
  <c r="I28" i="14"/>
  <c r="I38" i="14" s="1"/>
  <c r="C38" i="14"/>
  <c r="I14" i="14"/>
  <c r="C63" i="14"/>
  <c r="C77" i="14"/>
  <c r="I29" i="14"/>
  <c r="C78" i="14"/>
  <c r="C64" i="14"/>
  <c r="I21" i="14"/>
  <c r="I44" i="14" s="1"/>
  <c r="C44" i="14"/>
  <c r="C71" i="14"/>
  <c r="I11" i="14"/>
  <c r="C57" i="14"/>
  <c r="I13" i="14"/>
  <c r="I41" i="14" s="1"/>
  <c r="C41" i="14"/>
  <c r="I17" i="14"/>
  <c r="I46" i="14" s="1"/>
  <c r="C46" i="14"/>
  <c r="I6" i="14"/>
  <c r="I42" i="14" s="1"/>
  <c r="C42" i="14"/>
  <c r="I32" i="14"/>
  <c r="I37" i="14" s="1"/>
  <c r="C37" i="14"/>
  <c r="I31" i="14"/>
  <c r="C59" i="14"/>
  <c r="C73" i="14"/>
  <c r="C43" i="14"/>
  <c r="I10" i="14"/>
  <c r="I43" i="14" s="1"/>
  <c r="I27" i="14"/>
  <c r="C52" i="14"/>
  <c r="C66" i="14"/>
  <c r="I25" i="14"/>
  <c r="I51" i="14" s="1"/>
  <c r="C51" i="14"/>
  <c r="I5" i="14"/>
  <c r="I34" i="14" s="1"/>
  <c r="C34" i="14"/>
  <c r="C48" i="14"/>
  <c r="I12" i="14"/>
  <c r="I48" i="14" s="1"/>
  <c r="C53" i="14"/>
  <c r="C67" i="14"/>
  <c r="I23" i="14"/>
  <c r="I16" i="14"/>
  <c r="I36" i="14" s="1"/>
  <c r="C36" i="14"/>
  <c r="I22" i="14"/>
  <c r="C72" i="14"/>
  <c r="C58" i="14"/>
  <c r="C68" i="14"/>
  <c r="C54" i="14"/>
  <c r="I7" i="14"/>
  <c r="I30" i="14"/>
  <c r="I45" i="14" s="1"/>
  <c r="C45" i="14"/>
  <c r="I20" i="14"/>
  <c r="C62" i="14"/>
  <c r="C76" i="14"/>
  <c r="I24" i="14"/>
  <c r="I39" i="14" s="1"/>
  <c r="C39" i="14"/>
  <c r="K63" i="15"/>
  <c r="K77" i="15"/>
  <c r="K76" i="15"/>
  <c r="K62" i="15"/>
  <c r="F62" i="15"/>
  <c r="H62" i="15" s="1"/>
  <c r="F76" i="15"/>
  <c r="F64" i="15"/>
  <c r="H64" i="15" s="1"/>
  <c r="F78" i="15"/>
  <c r="I60" i="15"/>
  <c r="I74" i="15"/>
  <c r="F63" i="15"/>
  <c r="H63" i="15" s="1"/>
  <c r="F77" i="15"/>
  <c r="H77" i="15" s="1"/>
  <c r="F55" i="15"/>
  <c r="F69" i="15"/>
  <c r="K59" i="15"/>
  <c r="K73" i="15"/>
  <c r="C50" i="15"/>
  <c r="I50" i="15" s="1"/>
  <c r="F68" i="15"/>
  <c r="H68" i="15" s="1"/>
  <c r="F54" i="15"/>
  <c r="C33" i="15"/>
  <c r="I33" i="15" s="1"/>
  <c r="K54" i="15"/>
  <c r="K68" i="15"/>
  <c r="K75" i="15"/>
  <c r="K61" i="15"/>
  <c r="E33" i="15"/>
  <c r="K33" i="15" s="1"/>
  <c r="F75" i="15"/>
  <c r="F61" i="15"/>
  <c r="K56" i="15"/>
  <c r="K70" i="15"/>
  <c r="E66" i="15"/>
  <c r="E65" i="15" s="1"/>
  <c r="K65" i="15" s="1"/>
  <c r="C65" i="15"/>
  <c r="I65" i="15" s="1"/>
  <c r="F70" i="15"/>
  <c r="H70" i="15" s="1"/>
  <c r="F56" i="15"/>
  <c r="H51" i="15"/>
  <c r="I77" i="15"/>
  <c r="I63" i="15"/>
  <c r="I66" i="15"/>
  <c r="I52" i="15"/>
  <c r="F33" i="15"/>
  <c r="H34" i="15"/>
  <c r="I55" i="15"/>
  <c r="I69" i="15"/>
  <c r="I71" i="15"/>
  <c r="I57" i="15"/>
  <c r="I68" i="15"/>
  <c r="I54" i="15"/>
  <c r="F57" i="15"/>
  <c r="F71" i="15"/>
  <c r="H71" i="15" s="1"/>
  <c r="I53" i="15"/>
  <c r="I67" i="15"/>
  <c r="I56" i="15"/>
  <c r="I70" i="15"/>
  <c r="F52" i="15"/>
  <c r="F66" i="15"/>
  <c r="I73" i="15"/>
  <c r="I59" i="15"/>
  <c r="F53" i="15"/>
  <c r="H53" i="15" s="1"/>
  <c r="F67" i="15"/>
  <c r="H48" i="15"/>
  <c r="H47" i="15" s="1"/>
  <c r="F47" i="15"/>
  <c r="K64" i="15"/>
  <c r="K78" i="15"/>
  <c r="I62" i="15"/>
  <c r="I76" i="15"/>
  <c r="I78" i="15"/>
  <c r="I64" i="15"/>
  <c r="I58" i="15"/>
  <c r="I72" i="15"/>
  <c r="I61" i="15"/>
  <c r="I75" i="15"/>
  <c r="K16" i="14"/>
  <c r="K36" i="14" s="1"/>
  <c r="K8" i="14"/>
  <c r="K49" i="14" s="1"/>
  <c r="K10" i="14"/>
  <c r="K43" i="14" s="1"/>
  <c r="K15" i="14"/>
  <c r="K35" i="14" s="1"/>
  <c r="F67" i="14"/>
  <c r="F53" i="14"/>
  <c r="K67" i="14"/>
  <c r="K53" i="14"/>
  <c r="F74" i="14"/>
  <c r="F60" i="14"/>
  <c r="F71" i="14"/>
  <c r="F57" i="14"/>
  <c r="L12" i="14"/>
  <c r="K48" i="14"/>
  <c r="H7" i="14"/>
  <c r="H41" i="14"/>
  <c r="K78" i="14"/>
  <c r="K64" i="14"/>
  <c r="H40" i="14"/>
  <c r="F70" i="14"/>
  <c r="F72" i="14"/>
  <c r="F58" i="14"/>
  <c r="G71" i="14"/>
  <c r="G57" i="14"/>
  <c r="F54" i="14"/>
  <c r="F68" i="14"/>
  <c r="L13" i="14"/>
  <c r="K41" i="14"/>
  <c r="F66" i="14"/>
  <c r="F52" i="14"/>
  <c r="K34" i="14"/>
  <c r="F61" i="14"/>
  <c r="F75" i="14"/>
  <c r="K57" i="14"/>
  <c r="K71" i="14"/>
  <c r="F73" i="14"/>
  <c r="F59" i="14"/>
  <c r="K32" i="8"/>
  <c r="K37" i="8" s="1"/>
  <c r="K25" i="8"/>
  <c r="K51" i="8" s="1"/>
  <c r="G50" i="8"/>
  <c r="K12" i="8"/>
  <c r="K48" i="8" s="1"/>
  <c r="H53" i="8"/>
  <c r="G33" i="8"/>
  <c r="H63" i="8"/>
  <c r="H55" i="8"/>
  <c r="K71" i="8"/>
  <c r="K57" i="8"/>
  <c r="H40" i="8"/>
  <c r="F73" i="8"/>
  <c r="H73" i="8" s="1"/>
  <c r="F59" i="8"/>
  <c r="H59" i="8" s="1"/>
  <c r="H54" i="8"/>
  <c r="F71" i="8"/>
  <c r="H71" i="8" s="1"/>
  <c r="F57" i="8"/>
  <c r="H57" i="8" s="1"/>
  <c r="K70" i="8"/>
  <c r="K56" i="8"/>
  <c r="H68" i="8"/>
  <c r="L4" i="8"/>
  <c r="K4" i="8"/>
  <c r="K40" i="8" s="1"/>
  <c r="K78" i="8"/>
  <c r="K64" i="8"/>
  <c r="F33" i="8"/>
  <c r="H52" i="8"/>
  <c r="G65" i="8"/>
  <c r="H64" i="8"/>
  <c r="H66" i="8"/>
  <c r="K76" i="8"/>
  <c r="K62" i="8"/>
  <c r="H78" i="8"/>
  <c r="H77" i="8"/>
  <c r="K54" i="8"/>
  <c r="K68" i="8"/>
  <c r="L16" i="8"/>
  <c r="K36" i="8"/>
  <c r="K69" i="8"/>
  <c r="K55" i="8"/>
  <c r="K63" i="8"/>
  <c r="K77" i="8"/>
  <c r="H41" i="8"/>
  <c r="F58" i="8"/>
  <c r="H58" i="8" s="1"/>
  <c r="F72" i="8"/>
  <c r="H72" i="8" s="1"/>
  <c r="K66" i="8"/>
  <c r="K52" i="8"/>
  <c r="H61" i="8"/>
  <c r="F74" i="8"/>
  <c r="H74" i="8" s="1"/>
  <c r="F60" i="8"/>
  <c r="H60" i="8" s="1"/>
  <c r="H13" i="8"/>
  <c r="K41" i="8"/>
  <c r="K72" i="8"/>
  <c r="K58" i="8"/>
  <c r="L23" i="8"/>
  <c r="H70" i="8"/>
  <c r="K59" i="8"/>
  <c r="K73" i="8"/>
  <c r="L18" i="8"/>
  <c r="F47" i="8"/>
  <c r="H48" i="8"/>
  <c r="H47" i="8" s="1"/>
  <c r="H62" i="8"/>
  <c r="H51" i="8"/>
  <c r="H76" i="8"/>
  <c r="E66" i="4"/>
  <c r="E76" i="4"/>
  <c r="E69" i="4"/>
  <c r="C33" i="4"/>
  <c r="I33" i="4" s="1"/>
  <c r="E67" i="4"/>
  <c r="E77" i="4"/>
  <c r="E74" i="4"/>
  <c r="H66" i="4"/>
  <c r="H65" i="4" s="1"/>
  <c r="E39" i="4"/>
  <c r="E19" i="3"/>
  <c r="K19" i="3" s="1"/>
  <c r="K70" i="3" s="1"/>
  <c r="J60" i="3"/>
  <c r="J74" i="3"/>
  <c r="E70" i="3"/>
  <c r="L70" i="3" s="1"/>
  <c r="G53" i="3"/>
  <c r="G67" i="3"/>
  <c r="F19" i="3"/>
  <c r="F70" i="3" s="1"/>
  <c r="E11" i="3"/>
  <c r="K11" i="3" s="1"/>
  <c r="K71" i="3" s="1"/>
  <c r="C71" i="3"/>
  <c r="E71" i="3" s="1"/>
  <c r="L71" i="3" s="1"/>
  <c r="G58" i="3"/>
  <c r="G72" i="3"/>
  <c r="G52" i="3"/>
  <c r="G66" i="3"/>
  <c r="I19" i="3"/>
  <c r="G59" i="3"/>
  <c r="G73" i="3"/>
  <c r="F53" i="3"/>
  <c r="F67" i="3"/>
  <c r="E14" i="3"/>
  <c r="K14" i="3" s="1"/>
  <c r="K77" i="3" s="1"/>
  <c r="C77" i="3"/>
  <c r="E77" i="3" s="1"/>
  <c r="L77" i="3" s="1"/>
  <c r="H69" i="3"/>
  <c r="J62" i="3"/>
  <c r="J76" i="3"/>
  <c r="I55" i="3"/>
  <c r="I69" i="3"/>
  <c r="G55" i="3"/>
  <c r="F58" i="3"/>
  <c r="F72" i="3"/>
  <c r="F59" i="3"/>
  <c r="F73" i="3"/>
  <c r="K52" i="3"/>
  <c r="K66" i="3"/>
  <c r="E47" i="4"/>
  <c r="K47" i="4" s="1"/>
  <c r="E40" i="4"/>
  <c r="F12" i="3"/>
  <c r="F48" i="3" s="1"/>
  <c r="F47" i="3" s="1"/>
  <c r="E4" i="3"/>
  <c r="K4" i="3" s="1"/>
  <c r="E12" i="3"/>
  <c r="K12" i="3" s="1"/>
  <c r="I4" i="3"/>
  <c r="I40" i="3" s="1"/>
  <c r="F4" i="3"/>
  <c r="F40" i="3" s="1"/>
  <c r="H40" i="3" s="1"/>
  <c r="F14" i="3"/>
  <c r="F77" i="3" s="1"/>
  <c r="H77" i="3" s="1"/>
  <c r="I14" i="3"/>
  <c r="I77" i="3" s="1"/>
  <c r="I8" i="3"/>
  <c r="I49" i="3" s="1"/>
  <c r="E8" i="3"/>
  <c r="K8" i="3" s="1"/>
  <c r="K49" i="3" s="1"/>
  <c r="J55" i="3"/>
  <c r="F17" i="3"/>
  <c r="F46" i="3" s="1"/>
  <c r="H46" i="3" s="1"/>
  <c r="I17" i="3"/>
  <c r="I46" i="3" s="1"/>
  <c r="F11" i="3"/>
  <c r="F71" i="3" s="1"/>
  <c r="H71" i="3" s="1"/>
  <c r="J61" i="3"/>
  <c r="E17" i="3"/>
  <c r="K17" i="3" s="1"/>
  <c r="J63" i="3"/>
  <c r="I64" i="3"/>
  <c r="J53" i="3"/>
  <c r="H38" i="4"/>
  <c r="E14" i="14"/>
  <c r="K14" i="14" s="1"/>
  <c r="E37" i="3"/>
  <c r="L37" i="3" s="1"/>
  <c r="H23" i="8"/>
  <c r="N62" i="5"/>
  <c r="N54" i="5"/>
  <c r="N58" i="5"/>
  <c r="N55" i="5"/>
  <c r="N57" i="5"/>
  <c r="N52" i="5"/>
  <c r="N60" i="5"/>
  <c r="N64" i="5"/>
  <c r="N61" i="5"/>
  <c r="N63" i="5"/>
  <c r="N56" i="5"/>
  <c r="N53" i="5"/>
  <c r="N59" i="5"/>
  <c r="E46" i="4"/>
  <c r="D33" i="4"/>
  <c r="J33" i="4" s="1"/>
  <c r="E44" i="4"/>
  <c r="H49" i="3"/>
  <c r="I17" i="12"/>
  <c r="I46" i="12" s="1"/>
  <c r="J13" i="18"/>
  <c r="K13" i="12"/>
  <c r="K41" i="12" s="1"/>
  <c r="H11" i="18"/>
  <c r="I11" i="12"/>
  <c r="I28" i="12"/>
  <c r="I38" i="12" s="1"/>
  <c r="H4" i="12"/>
  <c r="K4" i="12"/>
  <c r="K40" i="12" s="1"/>
  <c r="H27" i="3"/>
  <c r="E30" i="12"/>
  <c r="E23" i="12"/>
  <c r="K23" i="12" s="1"/>
  <c r="I23" i="12"/>
  <c r="L27" i="3"/>
  <c r="I32" i="12"/>
  <c r="I37" i="12" s="1"/>
  <c r="I13" i="12"/>
  <c r="I41" i="12" s="1"/>
  <c r="I27" i="12"/>
  <c r="I25" i="12"/>
  <c r="I51" i="12" s="1"/>
  <c r="I26" i="12"/>
  <c r="I31" i="12"/>
  <c r="I16" i="12"/>
  <c r="I36" i="12" s="1"/>
  <c r="F6" i="12"/>
  <c r="F42" i="12" s="1"/>
  <c r="H42" i="12" s="1"/>
  <c r="K22" i="15"/>
  <c r="H22" i="15"/>
  <c r="H32" i="4"/>
  <c r="K32" i="4"/>
  <c r="K37" i="4" s="1"/>
  <c r="H29" i="4"/>
  <c r="K29" i="4"/>
  <c r="K78" i="4" s="1"/>
  <c r="H4" i="4"/>
  <c r="K4" i="4"/>
  <c r="K40" i="4" s="1"/>
  <c r="H27" i="4"/>
  <c r="K27" i="4"/>
  <c r="K66" i="4" s="1"/>
  <c r="K21" i="4"/>
  <c r="K44" i="4" s="1"/>
  <c r="K15" i="4"/>
  <c r="K35" i="4" s="1"/>
  <c r="E56" i="4"/>
  <c r="H7" i="12"/>
  <c r="I59" i="3"/>
  <c r="J59" i="3"/>
  <c r="E58" i="4"/>
  <c r="J7" i="18"/>
  <c r="L29" i="3"/>
  <c r="H29" i="3"/>
  <c r="E60" i="4"/>
  <c r="E63" i="4"/>
  <c r="D50" i="4"/>
  <c r="J50" i="4" s="1"/>
  <c r="H63" i="4"/>
  <c r="F61" i="4"/>
  <c r="H61" i="4" s="1"/>
  <c r="H34" i="4"/>
  <c r="F33" i="4"/>
  <c r="E52" i="4"/>
  <c r="E59" i="4"/>
  <c r="K39" i="4"/>
  <c r="H24" i="4"/>
  <c r="G56" i="4"/>
  <c r="H56" i="4" s="1"/>
  <c r="F47" i="4"/>
  <c r="H48" i="4"/>
  <c r="J54" i="3"/>
  <c r="H49" i="4"/>
  <c r="H62" i="4"/>
  <c r="H19" i="4"/>
  <c r="F64" i="4"/>
  <c r="H64" i="4" s="1"/>
  <c r="E55" i="4"/>
  <c r="H53" i="4"/>
  <c r="I60" i="3"/>
  <c r="F52" i="4"/>
  <c r="H52" i="4" s="1"/>
  <c r="F64" i="3"/>
  <c r="F58" i="4"/>
  <c r="H58" i="4" s="1"/>
  <c r="H22" i="4"/>
  <c r="H26" i="4"/>
  <c r="G57" i="4"/>
  <c r="H57" i="4" s="1"/>
  <c r="E53" i="4"/>
  <c r="F60" i="4"/>
  <c r="H60" i="4" s="1"/>
  <c r="F52" i="3"/>
  <c r="E62" i="4"/>
  <c r="F57" i="3"/>
  <c r="F59" i="4"/>
  <c r="H59" i="4" s="1"/>
  <c r="I65" i="4"/>
  <c r="E64" i="4"/>
  <c r="H20" i="4"/>
  <c r="G54" i="4"/>
  <c r="H51" i="4"/>
  <c r="C50" i="4"/>
  <c r="I50" i="4" s="1"/>
  <c r="E51" i="4"/>
  <c r="H55" i="4"/>
  <c r="H15" i="4"/>
  <c r="H12" i="8"/>
  <c r="L12" i="8"/>
  <c r="C64" i="3"/>
  <c r="E64" i="3" s="1"/>
  <c r="L64" i="3" s="1"/>
  <c r="C54" i="3"/>
  <c r="E54" i="3" s="1"/>
  <c r="L54" i="3" s="1"/>
  <c r="I11" i="3"/>
  <c r="I71" i="3" s="1"/>
  <c r="C57" i="3"/>
  <c r="E57" i="3" s="1"/>
  <c r="L57" i="3" s="1"/>
  <c r="I30" i="3"/>
  <c r="I45" i="3" s="1"/>
  <c r="C45" i="3"/>
  <c r="E45" i="3" s="1"/>
  <c r="L45" i="3" s="1"/>
  <c r="F30" i="3"/>
  <c r="F45" i="3" s="1"/>
  <c r="H45" i="3" s="1"/>
  <c r="C63" i="3"/>
  <c r="E63" i="3" s="1"/>
  <c r="L63" i="3" s="1"/>
  <c r="C59" i="3"/>
  <c r="E59" i="3" s="1"/>
  <c r="L59" i="3" s="1"/>
  <c r="C60" i="3"/>
  <c r="E60" i="3" s="1"/>
  <c r="L60" i="3" s="1"/>
  <c r="C35" i="3"/>
  <c r="E35" i="3" s="1"/>
  <c r="L35" i="3" s="1"/>
  <c r="F15" i="3"/>
  <c r="F35" i="3" s="1"/>
  <c r="H35" i="3" s="1"/>
  <c r="C52" i="3"/>
  <c r="E52" i="3" s="1"/>
  <c r="L52" i="3" s="1"/>
  <c r="C44" i="3"/>
  <c r="E44" i="3" s="1"/>
  <c r="F21" i="3"/>
  <c r="F44" i="3" s="1"/>
  <c r="H44" i="3" s="1"/>
  <c r="C58" i="3"/>
  <c r="E58" i="3" s="1"/>
  <c r="L58" i="3" s="1"/>
  <c r="I24" i="3"/>
  <c r="I39" i="3" s="1"/>
  <c r="C39" i="3"/>
  <c r="E39" i="3" s="1"/>
  <c r="L39" i="3" s="1"/>
  <c r="F24" i="3"/>
  <c r="F39" i="3" s="1"/>
  <c r="H39" i="3" s="1"/>
  <c r="C62" i="3"/>
  <c r="E62" i="3" s="1"/>
  <c r="L62" i="3" s="1"/>
  <c r="F20" i="3"/>
  <c r="F76" i="3" s="1"/>
  <c r="H76" i="3" s="1"/>
  <c r="C61" i="3"/>
  <c r="E61" i="3" s="1"/>
  <c r="L61" i="3" s="1"/>
  <c r="C53" i="3"/>
  <c r="E53" i="3" s="1"/>
  <c r="L53" i="3" s="1"/>
  <c r="I6" i="3"/>
  <c r="I42" i="3" s="1"/>
  <c r="C42" i="3"/>
  <c r="E42" i="3" s="1"/>
  <c r="L42" i="3" s="1"/>
  <c r="C56" i="3"/>
  <c r="E56" i="3" s="1"/>
  <c r="L56" i="3" s="1"/>
  <c r="F24" i="12"/>
  <c r="F39" i="12" s="1"/>
  <c r="H39" i="12" s="1"/>
  <c r="H24" i="18"/>
  <c r="E24" i="12"/>
  <c r="K24" i="12" s="1"/>
  <c r="K39" i="12" s="1"/>
  <c r="F30" i="12"/>
  <c r="F45" i="12" s="1"/>
  <c r="H45" i="12" s="1"/>
  <c r="H30" i="18"/>
  <c r="E12" i="12"/>
  <c r="K12" i="12" s="1"/>
  <c r="K48" i="12" s="1"/>
  <c r="E5" i="12"/>
  <c r="K5" i="12" s="1"/>
  <c r="K34" i="12" s="1"/>
  <c r="H6" i="18"/>
  <c r="G18" i="14"/>
  <c r="G12" i="14"/>
  <c r="G6" i="14"/>
  <c r="G19" i="14"/>
  <c r="G20" i="14"/>
  <c r="C10" i="11"/>
  <c r="C6" i="11"/>
  <c r="C26" i="11"/>
  <c r="C23" i="11"/>
  <c r="C7" i="11"/>
  <c r="C19" i="11"/>
  <c r="C16" i="11"/>
  <c r="C4" i="11"/>
  <c r="E4" i="11" s="1"/>
  <c r="C27" i="11"/>
  <c r="C30" i="11"/>
  <c r="C18" i="11"/>
  <c r="C21" i="11"/>
  <c r="C29" i="11"/>
  <c r="C5" i="11"/>
  <c r="C28" i="11"/>
  <c r="C17" i="11"/>
  <c r="C25" i="11"/>
  <c r="C12" i="11"/>
  <c r="C22" i="11"/>
  <c r="C20" i="11"/>
  <c r="C24" i="11"/>
  <c r="C8" i="11"/>
  <c r="E8" i="11" s="1"/>
  <c r="C32" i="11"/>
  <c r="C15" i="11"/>
  <c r="C31" i="11"/>
  <c r="C13" i="11"/>
  <c r="C9" i="11"/>
  <c r="C11" i="11"/>
  <c r="C14" i="11"/>
  <c r="G7" i="14"/>
  <c r="G26" i="14"/>
  <c r="G25" i="14"/>
  <c r="G10" i="14"/>
  <c r="G43" i="14" s="1"/>
  <c r="G16" i="14"/>
  <c r="G14" i="14"/>
  <c r="G22" i="14"/>
  <c r="G28" i="14"/>
  <c r="G27" i="14"/>
  <c r="G24" i="14"/>
  <c r="G23" i="14"/>
  <c r="G9" i="14"/>
  <c r="G5" i="14"/>
  <c r="G17" i="14"/>
  <c r="H23" i="12"/>
  <c r="J23" i="18"/>
  <c r="J15" i="18"/>
  <c r="H15" i="12"/>
  <c r="G21" i="14"/>
  <c r="G32" i="14"/>
  <c r="G31" i="14"/>
  <c r="G29" i="14"/>
  <c r="G30" i="14"/>
  <c r="F26" i="14"/>
  <c r="E26" i="14"/>
  <c r="K26" i="14" s="1"/>
  <c r="E18" i="14"/>
  <c r="K18" i="14" s="1"/>
  <c r="F15" i="14"/>
  <c r="E9" i="14"/>
  <c r="K9" i="14" s="1"/>
  <c r="E19" i="14"/>
  <c r="K19" i="14" s="1"/>
  <c r="E28" i="14"/>
  <c r="E21" i="14"/>
  <c r="E17" i="14"/>
  <c r="F6" i="14"/>
  <c r="E6" i="14"/>
  <c r="E32" i="14"/>
  <c r="E31" i="14"/>
  <c r="K31" i="14" s="1"/>
  <c r="F10" i="14"/>
  <c r="E27" i="14"/>
  <c r="K27" i="14" s="1"/>
  <c r="E25" i="14"/>
  <c r="F12" i="14"/>
  <c r="F48" i="14" s="1"/>
  <c r="E22" i="14"/>
  <c r="K22" i="14" s="1"/>
  <c r="F30" i="14"/>
  <c r="E30" i="14"/>
  <c r="F20" i="14"/>
  <c r="E20" i="14"/>
  <c r="K20" i="14" s="1"/>
  <c r="F24" i="14"/>
  <c r="E24" i="14"/>
  <c r="F60" i="3"/>
  <c r="H60" i="3" s="1"/>
  <c r="I58" i="3"/>
  <c r="I59" i="4"/>
  <c r="K54" i="4"/>
  <c r="J57" i="4"/>
  <c r="K64" i="4"/>
  <c r="I52" i="4"/>
  <c r="I61" i="4"/>
  <c r="K52" i="4"/>
  <c r="J56" i="4"/>
  <c r="I60" i="4"/>
  <c r="I64" i="4"/>
  <c r="L13" i="8"/>
  <c r="H18" i="8"/>
  <c r="H42" i="3"/>
  <c r="F55" i="3"/>
  <c r="H55" i="3" s="1"/>
  <c r="J52" i="3"/>
  <c r="L23" i="14"/>
  <c r="H23" i="14"/>
  <c r="L29" i="14"/>
  <c r="H29" i="14"/>
  <c r="L16" i="14"/>
  <c r="H16" i="14"/>
  <c r="H4" i="8"/>
  <c r="H23" i="4"/>
  <c r="K46" i="4"/>
  <c r="H17" i="4"/>
  <c r="H21" i="4"/>
  <c r="H20" i="3"/>
  <c r="K45" i="4"/>
  <c r="H30" i="4"/>
  <c r="H14" i="4"/>
  <c r="K49" i="4"/>
  <c r="H8" i="4"/>
  <c r="H31" i="4"/>
  <c r="K25" i="3"/>
  <c r="K51" i="3" s="1"/>
  <c r="L28" i="3"/>
  <c r="H28" i="3"/>
  <c r="L15" i="3"/>
  <c r="I54" i="3"/>
  <c r="H32" i="3"/>
  <c r="H15" i="3"/>
  <c r="L32" i="3"/>
  <c r="K31" i="3"/>
  <c r="K73" i="3" s="1"/>
  <c r="F54" i="3"/>
  <c r="H54" i="3" s="1"/>
  <c r="I62" i="3"/>
  <c r="K36" i="3"/>
  <c r="H34" i="3"/>
  <c r="F61" i="3"/>
  <c r="H7" i="3"/>
  <c r="L31" i="3"/>
  <c r="H5" i="3"/>
  <c r="L7" i="3"/>
  <c r="D33" i="3"/>
  <c r="J33" i="3" s="1"/>
  <c r="G62" i="3"/>
  <c r="H25" i="3"/>
  <c r="I53" i="3"/>
  <c r="L25" i="3"/>
  <c r="J58" i="3"/>
  <c r="H43" i="3"/>
  <c r="H41" i="3"/>
  <c r="H37" i="3"/>
  <c r="H51" i="3"/>
  <c r="L14" i="3"/>
  <c r="H36" i="3"/>
  <c r="L16" i="3"/>
  <c r="H14" i="3"/>
  <c r="G57" i="3"/>
  <c r="H16" i="3"/>
  <c r="I61" i="3"/>
  <c r="L20" i="3"/>
  <c r="H21" i="3"/>
  <c r="L21" i="3"/>
  <c r="L23" i="3"/>
  <c r="G33" i="3"/>
  <c r="L5" i="3"/>
  <c r="H23" i="3"/>
  <c r="L32" i="8"/>
  <c r="H32" i="8"/>
  <c r="H26" i="9"/>
  <c r="J21" i="18"/>
  <c r="H21" i="12"/>
  <c r="L22" i="8"/>
  <c r="H22" i="8"/>
  <c r="H28" i="12"/>
  <c r="J28" i="18"/>
  <c r="I52" i="3"/>
  <c r="H32" i="12"/>
  <c r="J32" i="18"/>
  <c r="E55" i="3"/>
  <c r="L55" i="3" s="1"/>
  <c r="H64" i="3"/>
  <c r="K53" i="3"/>
  <c r="K62" i="3"/>
  <c r="K54" i="3"/>
  <c r="K63" i="3"/>
  <c r="K64" i="3"/>
  <c r="J65" i="3"/>
  <c r="K40" i="3"/>
  <c r="L4" i="3"/>
  <c r="H4" i="3"/>
  <c r="H6" i="3"/>
  <c r="K42" i="3"/>
  <c r="L6" i="3"/>
  <c r="K45" i="3"/>
  <c r="L30" i="3"/>
  <c r="H30" i="3"/>
  <c r="L48" i="3"/>
  <c r="E47" i="3"/>
  <c r="K46" i="3"/>
  <c r="L17" i="3"/>
  <c r="H17" i="3"/>
  <c r="H9" i="3"/>
  <c r="L9" i="3"/>
  <c r="K39" i="3"/>
  <c r="L24" i="3"/>
  <c r="H24" i="3"/>
  <c r="L19" i="3"/>
  <c r="H19" i="3"/>
  <c r="H11" i="3"/>
  <c r="L22" i="3"/>
  <c r="H22" i="3"/>
  <c r="K41" i="3"/>
  <c r="L13" i="3"/>
  <c r="H13" i="3"/>
  <c r="L18" i="3"/>
  <c r="H18" i="3"/>
  <c r="L12" i="3"/>
  <c r="K48" i="3"/>
  <c r="H12" i="3"/>
  <c r="L10" i="3"/>
  <c r="H10" i="3"/>
  <c r="K43" i="3"/>
  <c r="H53" i="3"/>
  <c r="H26" i="3"/>
  <c r="L26" i="3"/>
  <c r="J31" i="18"/>
  <c r="H31" i="12"/>
  <c r="H20" i="12"/>
  <c r="J20" i="18"/>
  <c r="H13" i="14"/>
  <c r="H26" i="12"/>
  <c r="J26" i="18"/>
  <c r="H18" i="12"/>
  <c r="J18" i="18"/>
  <c r="H13" i="12"/>
  <c r="J16" i="18"/>
  <c r="H16" i="12"/>
  <c r="D50" i="3"/>
  <c r="J50" i="3" s="1"/>
  <c r="H7" i="15"/>
  <c r="L7" i="14"/>
  <c r="H9" i="4"/>
  <c r="H4" i="9"/>
  <c r="J10" i="18"/>
  <c r="H10" i="12"/>
  <c r="J4" i="18"/>
  <c r="L11" i="14"/>
  <c r="H11" i="14"/>
  <c r="H12" i="4"/>
  <c r="K48" i="4"/>
  <c r="L8" i="14"/>
  <c r="H8" i="14"/>
  <c r="H5" i="4"/>
  <c r="K34" i="4"/>
  <c r="H7" i="9"/>
  <c r="H11" i="4"/>
  <c r="H12" i="14"/>
  <c r="H18" i="4"/>
  <c r="H9" i="12"/>
  <c r="J9" i="18"/>
  <c r="H29" i="12"/>
  <c r="J29" i="18"/>
  <c r="L15" i="14"/>
  <c r="H15" i="14"/>
  <c r="H19" i="12"/>
  <c r="J19" i="18"/>
  <c r="L10" i="14"/>
  <c r="H10" i="14"/>
  <c r="L4" i="14"/>
  <c r="H4" i="14"/>
  <c r="K51" i="4"/>
  <c r="H25" i="4"/>
  <c r="H8" i="12"/>
  <c r="J8" i="18"/>
  <c r="L11" i="8"/>
  <c r="H11" i="8"/>
  <c r="J6" i="18"/>
  <c r="H6" i="12"/>
  <c r="K43" i="4"/>
  <c r="H10" i="4"/>
  <c r="J25" i="18"/>
  <c r="H25" i="12"/>
  <c r="L25" i="8"/>
  <c r="H25" i="8"/>
  <c r="H17" i="12"/>
  <c r="J17" i="18"/>
  <c r="H16" i="4"/>
  <c r="K36" i="4"/>
  <c r="J11" i="18"/>
  <c r="H11" i="12"/>
  <c r="J14" i="18"/>
  <c r="H14" i="12"/>
  <c r="G47" i="3"/>
  <c r="G12" i="11"/>
  <c r="G48" i="11" s="1"/>
  <c r="E12" i="11"/>
  <c r="G19" i="11"/>
  <c r="E19" i="11"/>
  <c r="G26" i="11"/>
  <c r="E26" i="11"/>
  <c r="G27" i="11"/>
  <c r="E27" i="11"/>
  <c r="E51" i="3"/>
  <c r="K38" i="4"/>
  <c r="H28" i="4"/>
  <c r="J42" i="11"/>
  <c r="G6" i="11"/>
  <c r="G42" i="11" s="1"/>
  <c r="E6" i="11"/>
  <c r="G21" i="11"/>
  <c r="G44" i="11" s="1"/>
  <c r="G24" i="11"/>
  <c r="G39" i="11" s="1"/>
  <c r="E24" i="11"/>
  <c r="G30" i="11"/>
  <c r="G45" i="11" s="1"/>
  <c r="J45" i="11"/>
  <c r="E30" i="11"/>
  <c r="J41" i="11"/>
  <c r="G13" i="11"/>
  <c r="G41" i="11" s="1"/>
  <c r="E13" i="11"/>
  <c r="J49" i="11"/>
  <c r="G8" i="11"/>
  <c r="G49" i="11" s="1"/>
  <c r="G23" i="11"/>
  <c r="E23" i="11"/>
  <c r="G25" i="11"/>
  <c r="G51" i="11" s="1"/>
  <c r="J51" i="11"/>
  <c r="E25" i="11"/>
  <c r="I17" i="18"/>
  <c r="J40" i="11"/>
  <c r="G4" i="11"/>
  <c r="G40" i="11" s="1"/>
  <c r="G18" i="11"/>
  <c r="E18" i="11"/>
  <c r="J36" i="11"/>
  <c r="G16" i="11"/>
  <c r="G36" i="11" s="1"/>
  <c r="E16" i="11"/>
  <c r="J34" i="11"/>
  <c r="G5" i="11"/>
  <c r="G34" i="11" s="1"/>
  <c r="E5" i="11"/>
  <c r="G14" i="11"/>
  <c r="E14" i="11"/>
  <c r="G11" i="11"/>
  <c r="E11" i="11"/>
  <c r="J46" i="11"/>
  <c r="G17" i="11"/>
  <c r="G46" i="11" s="1"/>
  <c r="E17" i="11"/>
  <c r="G7" i="11"/>
  <c r="E7" i="11"/>
  <c r="G15" i="11"/>
  <c r="G35" i="11" s="1"/>
  <c r="E15" i="11"/>
  <c r="G9" i="11"/>
  <c r="E9" i="11"/>
  <c r="G31" i="11"/>
  <c r="E31" i="11"/>
  <c r="G10" i="11"/>
  <c r="G43" i="11" s="1"/>
  <c r="J43" i="11"/>
  <c r="E10" i="11"/>
  <c r="G29" i="11"/>
  <c r="E29" i="11"/>
  <c r="G32" i="11"/>
  <c r="G37" i="11" s="1"/>
  <c r="J37" i="11"/>
  <c r="G20" i="11"/>
  <c r="J38" i="11"/>
  <c r="G28" i="11"/>
  <c r="G38" i="11" s="1"/>
  <c r="E28" i="11"/>
  <c r="G22" i="11"/>
  <c r="E22" i="11"/>
  <c r="L8" i="3" l="1"/>
  <c r="F63" i="3"/>
  <c r="H63" i="3" s="1"/>
  <c r="H8" i="3"/>
  <c r="F56" i="3"/>
  <c r="H56" i="3" s="1"/>
  <c r="K27" i="12"/>
  <c r="H27" i="12"/>
  <c r="D47" i="14"/>
  <c r="J47" i="14" s="1"/>
  <c r="H14" i="14"/>
  <c r="L14" i="14"/>
  <c r="H55" i="15"/>
  <c r="H57" i="15"/>
  <c r="H72" i="3"/>
  <c r="H75" i="15"/>
  <c r="H67" i="3"/>
  <c r="H66" i="15"/>
  <c r="H54" i="12"/>
  <c r="F50" i="8"/>
  <c r="K69" i="15"/>
  <c r="H54" i="15"/>
  <c r="I63" i="3"/>
  <c r="E50" i="15"/>
  <c r="K50" i="15" s="1"/>
  <c r="H61" i="15"/>
  <c r="H52" i="12"/>
  <c r="C50" i="3"/>
  <c r="I50" i="3" s="1"/>
  <c r="H61" i="3"/>
  <c r="H69" i="15"/>
  <c r="H33" i="4"/>
  <c r="J50" i="10"/>
  <c r="H72" i="9"/>
  <c r="E50" i="9"/>
  <c r="K50" i="9" s="1"/>
  <c r="H58" i="3"/>
  <c r="H73" i="12"/>
  <c r="H78" i="12"/>
  <c r="G50" i="12"/>
  <c r="L50" i="13"/>
  <c r="L4" i="11"/>
  <c r="K4" i="11"/>
  <c r="L9" i="11"/>
  <c r="K9" i="11"/>
  <c r="L22" i="11"/>
  <c r="K22" i="11"/>
  <c r="L10" i="11"/>
  <c r="K10" i="11"/>
  <c r="L28" i="11"/>
  <c r="K28" i="11"/>
  <c r="K38" i="11" s="1"/>
  <c r="L11" i="11"/>
  <c r="K11" i="11"/>
  <c r="L26" i="11"/>
  <c r="K26" i="11"/>
  <c r="I5" i="11"/>
  <c r="C34" i="11"/>
  <c r="I76" i="12"/>
  <c r="I62" i="12"/>
  <c r="H63" i="12"/>
  <c r="E32" i="11"/>
  <c r="I32" i="11"/>
  <c r="C37" i="11"/>
  <c r="E37" i="11" s="1"/>
  <c r="L37" i="11" s="1"/>
  <c r="E20" i="11"/>
  <c r="I20" i="11"/>
  <c r="C62" i="11"/>
  <c r="E62" i="11" s="1"/>
  <c r="L62" i="11" s="1"/>
  <c r="C76" i="11"/>
  <c r="E76" i="11" s="1"/>
  <c r="L76" i="11" s="1"/>
  <c r="E21" i="11"/>
  <c r="H21" i="11" s="1"/>
  <c r="I21" i="11"/>
  <c r="I44" i="11" s="1"/>
  <c r="C44" i="11"/>
  <c r="E44" i="11" s="1"/>
  <c r="L44" i="11" s="1"/>
  <c r="I68" i="12"/>
  <c r="I54" i="12"/>
  <c r="G65" i="12"/>
  <c r="D33" i="11"/>
  <c r="J33" i="11" s="1"/>
  <c r="J78" i="14"/>
  <c r="J64" i="14"/>
  <c r="D50" i="11"/>
  <c r="J50" i="11" s="1"/>
  <c r="L13" i="11"/>
  <c r="K13" i="11"/>
  <c r="K41" i="11" s="1"/>
  <c r="I14" i="11"/>
  <c r="C63" i="11"/>
  <c r="E63" i="11" s="1"/>
  <c r="L63" i="11" s="1"/>
  <c r="C77" i="11"/>
  <c r="E77" i="11" s="1"/>
  <c r="L77" i="11" s="1"/>
  <c r="I23" i="11"/>
  <c r="C53" i="11"/>
  <c r="E53" i="11" s="1"/>
  <c r="L53" i="11" s="1"/>
  <c r="C67" i="11"/>
  <c r="E67" i="11" s="1"/>
  <c r="L67" i="11" s="1"/>
  <c r="I73" i="12"/>
  <c r="I59" i="12"/>
  <c r="G50" i="9"/>
  <c r="D50" i="14"/>
  <c r="J50" i="14" s="1"/>
  <c r="I8" i="11"/>
  <c r="C49" i="11"/>
  <c r="E49" i="11" s="1"/>
  <c r="L49" i="11" s="1"/>
  <c r="I17" i="11"/>
  <c r="I46" i="11" s="1"/>
  <c r="C46" i="11"/>
  <c r="E46" i="11" s="1"/>
  <c r="L46" i="11" s="1"/>
  <c r="I4" i="11"/>
  <c r="C40" i="11"/>
  <c r="E40" i="11" s="1"/>
  <c r="L40" i="11" s="1"/>
  <c r="G65" i="9"/>
  <c r="H69" i="12"/>
  <c r="I61" i="12"/>
  <c r="I75" i="12"/>
  <c r="H75" i="12"/>
  <c r="L14" i="11"/>
  <c r="K14" i="11"/>
  <c r="L24" i="11"/>
  <c r="K24" i="11"/>
  <c r="L27" i="11"/>
  <c r="K27" i="11"/>
  <c r="I12" i="11"/>
  <c r="I48" i="11" s="1"/>
  <c r="C48" i="11"/>
  <c r="I28" i="11"/>
  <c r="I38" i="11" s="1"/>
  <c r="C38" i="11"/>
  <c r="E38" i="11" s="1"/>
  <c r="L38" i="11" s="1"/>
  <c r="F70" i="12"/>
  <c r="H70" i="12" s="1"/>
  <c r="F56" i="12"/>
  <c r="H76" i="12"/>
  <c r="H55" i="12"/>
  <c r="H58" i="12"/>
  <c r="I56" i="12"/>
  <c r="I70" i="12"/>
  <c r="E50" i="12"/>
  <c r="K50" i="12" s="1"/>
  <c r="J73" i="14"/>
  <c r="J59" i="14"/>
  <c r="H61" i="12"/>
  <c r="L7" i="11"/>
  <c r="K7" i="11"/>
  <c r="I27" i="11"/>
  <c r="C66" i="11"/>
  <c r="E66" i="11" s="1"/>
  <c r="C52" i="11"/>
  <c r="E52" i="11" s="1"/>
  <c r="L52" i="11" s="1"/>
  <c r="I16" i="11"/>
  <c r="I36" i="11" s="1"/>
  <c r="C36" i="11"/>
  <c r="E36" i="11" s="1"/>
  <c r="L36" i="11" s="1"/>
  <c r="I19" i="11"/>
  <c r="C56" i="11"/>
  <c r="E56" i="11" s="1"/>
  <c r="L56" i="11" s="1"/>
  <c r="C70" i="11"/>
  <c r="I10" i="11"/>
  <c r="C43" i="11"/>
  <c r="E43" i="11" s="1"/>
  <c r="L43" i="11" s="1"/>
  <c r="I66" i="12"/>
  <c r="I52" i="12"/>
  <c r="J70" i="14"/>
  <c r="J56" i="14"/>
  <c r="H62" i="12"/>
  <c r="H72" i="12"/>
  <c r="C50" i="12"/>
  <c r="I50" i="12" s="1"/>
  <c r="J75" i="14"/>
  <c r="J61" i="14"/>
  <c r="L25" i="11"/>
  <c r="K25" i="11"/>
  <c r="L17" i="11"/>
  <c r="K17" i="11"/>
  <c r="L8" i="11"/>
  <c r="K8" i="11"/>
  <c r="L12" i="11"/>
  <c r="K12" i="11"/>
  <c r="K48" i="11" s="1"/>
  <c r="I53" i="12"/>
  <c r="I67" i="12"/>
  <c r="I57" i="12"/>
  <c r="I71" i="12"/>
  <c r="H52" i="3"/>
  <c r="H33" i="15"/>
  <c r="H54" i="9"/>
  <c r="I74" i="12"/>
  <c r="I60" i="12"/>
  <c r="K56" i="12"/>
  <c r="K70" i="12"/>
  <c r="D65" i="11"/>
  <c r="J65" i="11" s="1"/>
  <c r="F33" i="12"/>
  <c r="E65" i="9"/>
  <c r="K65" i="9" s="1"/>
  <c r="C65" i="12"/>
  <c r="I65" i="12" s="1"/>
  <c r="E66" i="12"/>
  <c r="E65" i="12" s="1"/>
  <c r="K65" i="12" s="1"/>
  <c r="L31" i="11"/>
  <c r="K31" i="11"/>
  <c r="L30" i="11"/>
  <c r="K30" i="11"/>
  <c r="I13" i="11"/>
  <c r="C41" i="11"/>
  <c r="E41" i="11" s="1"/>
  <c r="L41" i="11" s="1"/>
  <c r="I15" i="11"/>
  <c r="C35" i="11"/>
  <c r="E35" i="11" s="1"/>
  <c r="L35" i="11" s="1"/>
  <c r="K67" i="12"/>
  <c r="K53" i="12"/>
  <c r="H68" i="9"/>
  <c r="J72" i="14"/>
  <c r="J58" i="14"/>
  <c r="H33" i="12"/>
  <c r="C33" i="12"/>
  <c r="I33" i="12" s="1"/>
  <c r="E34" i="12"/>
  <c r="E33" i="12" s="1"/>
  <c r="K33" i="12" s="1"/>
  <c r="E48" i="12"/>
  <c r="E47" i="12" s="1"/>
  <c r="K47" i="12" s="1"/>
  <c r="C47" i="12"/>
  <c r="I47" i="12" s="1"/>
  <c r="D33" i="14"/>
  <c r="J33" i="14" s="1"/>
  <c r="I22" i="11"/>
  <c r="C72" i="11"/>
  <c r="E72" i="11" s="1"/>
  <c r="L72" i="11" s="1"/>
  <c r="C58" i="11"/>
  <c r="E58" i="11" s="1"/>
  <c r="L58" i="11" s="1"/>
  <c r="I29" i="11"/>
  <c r="C64" i="11"/>
  <c r="E64" i="11" s="1"/>
  <c r="L64" i="11" s="1"/>
  <c r="C78" i="11"/>
  <c r="E78" i="11" s="1"/>
  <c r="L78" i="11" s="1"/>
  <c r="J67" i="14"/>
  <c r="J53" i="14"/>
  <c r="J69" i="14"/>
  <c r="J55" i="14"/>
  <c r="H66" i="12"/>
  <c r="F65" i="12"/>
  <c r="J71" i="14"/>
  <c r="J57" i="14"/>
  <c r="I11" i="11"/>
  <c r="C57" i="11"/>
  <c r="E57" i="11" s="1"/>
  <c r="L57" i="11" s="1"/>
  <c r="C71" i="11"/>
  <c r="E71" i="11" s="1"/>
  <c r="L71" i="11" s="1"/>
  <c r="I31" i="11"/>
  <c r="C73" i="11"/>
  <c r="E73" i="11" s="1"/>
  <c r="L73" i="11" s="1"/>
  <c r="C59" i="11"/>
  <c r="E59" i="11" s="1"/>
  <c r="L59" i="11" s="1"/>
  <c r="I24" i="11"/>
  <c r="I39" i="11" s="1"/>
  <c r="C39" i="11"/>
  <c r="E39" i="11" s="1"/>
  <c r="L39" i="11" s="1"/>
  <c r="H33" i="8"/>
  <c r="H58" i="9"/>
  <c r="D65" i="14"/>
  <c r="J65" i="14" s="1"/>
  <c r="J74" i="14"/>
  <c r="J60" i="14"/>
  <c r="H57" i="12"/>
  <c r="L15" i="11"/>
  <c r="K15" i="11"/>
  <c r="L5" i="11"/>
  <c r="K5" i="11"/>
  <c r="L23" i="11"/>
  <c r="K23" i="11"/>
  <c r="L6" i="11"/>
  <c r="K6" i="11"/>
  <c r="L18" i="11"/>
  <c r="K18" i="11"/>
  <c r="L19" i="11"/>
  <c r="K19" i="11"/>
  <c r="I9" i="11"/>
  <c r="C61" i="11"/>
  <c r="E61" i="11" s="1"/>
  <c r="L61" i="11" s="1"/>
  <c r="C75" i="11"/>
  <c r="E75" i="11" s="1"/>
  <c r="L75" i="11" s="1"/>
  <c r="I25" i="11"/>
  <c r="C51" i="11"/>
  <c r="I26" i="11"/>
  <c r="C55" i="11"/>
  <c r="E55" i="11" s="1"/>
  <c r="L55" i="11" s="1"/>
  <c r="C69" i="11"/>
  <c r="E69" i="11" s="1"/>
  <c r="L69" i="11" s="1"/>
  <c r="J66" i="14"/>
  <c r="J52" i="14"/>
  <c r="J77" i="14"/>
  <c r="J63" i="14"/>
  <c r="J68" i="14"/>
  <c r="J54" i="14"/>
  <c r="J62" i="14"/>
  <c r="J76" i="14"/>
  <c r="H71" i="12"/>
  <c r="H53" i="12"/>
  <c r="L16" i="11"/>
  <c r="K16" i="11"/>
  <c r="L29" i="11"/>
  <c r="K29" i="11"/>
  <c r="I18" i="11"/>
  <c r="C74" i="11"/>
  <c r="E74" i="11" s="1"/>
  <c r="L74" i="11" s="1"/>
  <c r="C60" i="11"/>
  <c r="E60" i="11" s="1"/>
  <c r="L60" i="11" s="1"/>
  <c r="I30" i="11"/>
  <c r="C45" i="11"/>
  <c r="E45" i="11" s="1"/>
  <c r="L45" i="11" s="1"/>
  <c r="I7" i="11"/>
  <c r="C68" i="11"/>
  <c r="E68" i="11" s="1"/>
  <c r="L68" i="11" s="1"/>
  <c r="C54" i="11"/>
  <c r="E54" i="11" s="1"/>
  <c r="L54" i="11" s="1"/>
  <c r="I6" i="11"/>
  <c r="I42" i="11" s="1"/>
  <c r="C42" i="11"/>
  <c r="E42" i="11" s="1"/>
  <c r="L42" i="11" s="1"/>
  <c r="I69" i="12"/>
  <c r="I55" i="12"/>
  <c r="G50" i="15"/>
  <c r="I63" i="12"/>
  <c r="I77" i="12"/>
  <c r="H77" i="12"/>
  <c r="H67" i="12"/>
  <c r="F65" i="3"/>
  <c r="H48" i="3"/>
  <c r="H47" i="3" s="1"/>
  <c r="H59" i="3"/>
  <c r="E65" i="3"/>
  <c r="C33" i="3"/>
  <c r="I33" i="3" s="1"/>
  <c r="L11" i="3"/>
  <c r="H66" i="3"/>
  <c r="G65" i="3"/>
  <c r="C65" i="3"/>
  <c r="I65" i="3" s="1"/>
  <c r="E65" i="4"/>
  <c r="K65" i="4" s="1"/>
  <c r="H50" i="9"/>
  <c r="F65" i="9"/>
  <c r="H67" i="9"/>
  <c r="J65" i="10"/>
  <c r="L65" i="13"/>
  <c r="G65" i="15"/>
  <c r="H56" i="15"/>
  <c r="H67" i="15"/>
  <c r="H78" i="15"/>
  <c r="H52" i="15"/>
  <c r="F64" i="14"/>
  <c r="F77" i="14"/>
  <c r="E43" i="14"/>
  <c r="E71" i="14"/>
  <c r="E77" i="14"/>
  <c r="E56" i="14"/>
  <c r="E74" i="14"/>
  <c r="I68" i="14"/>
  <c r="I54" i="14"/>
  <c r="E44" i="14"/>
  <c r="E63" i="14"/>
  <c r="I56" i="14"/>
  <c r="I70" i="14"/>
  <c r="E54" i="14"/>
  <c r="C50" i="14"/>
  <c r="I50" i="14" s="1"/>
  <c r="E51" i="14"/>
  <c r="E66" i="14"/>
  <c r="E42" i="14"/>
  <c r="I63" i="14"/>
  <c r="I77" i="14"/>
  <c r="E61" i="14"/>
  <c r="E68" i="14"/>
  <c r="E48" i="14"/>
  <c r="C47" i="14"/>
  <c r="I47" i="14" s="1"/>
  <c r="E52" i="14"/>
  <c r="E73" i="14"/>
  <c r="E46" i="14"/>
  <c r="I75" i="14"/>
  <c r="I61" i="14"/>
  <c r="E39" i="14"/>
  <c r="I66" i="14"/>
  <c r="I52" i="14"/>
  <c r="E59" i="14"/>
  <c r="E75" i="14"/>
  <c r="I59" i="14"/>
  <c r="I73" i="14"/>
  <c r="E58" i="14"/>
  <c r="E34" i="14"/>
  <c r="C33" i="14"/>
  <c r="I33" i="14" s="1"/>
  <c r="E37" i="14"/>
  <c r="E72" i="14"/>
  <c r="E76" i="14"/>
  <c r="I58" i="14"/>
  <c r="I72" i="14"/>
  <c r="E40" i="14"/>
  <c r="E62" i="14"/>
  <c r="E36" i="14"/>
  <c r="I67" i="14"/>
  <c r="I53" i="14"/>
  <c r="E64" i="14"/>
  <c r="E38" i="14"/>
  <c r="E49" i="14"/>
  <c r="E69" i="14"/>
  <c r="I62" i="14"/>
  <c r="I76" i="14"/>
  <c r="E67" i="14"/>
  <c r="E57" i="14"/>
  <c r="E78" i="14"/>
  <c r="E60" i="14"/>
  <c r="E55" i="14"/>
  <c r="E45" i="14"/>
  <c r="E53" i="14"/>
  <c r="E41" i="14"/>
  <c r="I71" i="14"/>
  <c r="I57" i="14"/>
  <c r="I78" i="14"/>
  <c r="I64" i="14"/>
  <c r="E70" i="14"/>
  <c r="C65" i="14"/>
  <c r="I65" i="14" s="1"/>
  <c r="E35" i="14"/>
  <c r="I74" i="14"/>
  <c r="I60" i="14"/>
  <c r="I55" i="14"/>
  <c r="I69" i="14"/>
  <c r="K58" i="15"/>
  <c r="K72" i="15"/>
  <c r="F65" i="15"/>
  <c r="H76" i="15"/>
  <c r="F50" i="15"/>
  <c r="G74" i="11"/>
  <c r="G60" i="11"/>
  <c r="J78" i="11"/>
  <c r="J64" i="11"/>
  <c r="G68" i="11"/>
  <c r="G54" i="11"/>
  <c r="J74" i="11"/>
  <c r="J60" i="11"/>
  <c r="G71" i="11"/>
  <c r="G57" i="11"/>
  <c r="J57" i="11"/>
  <c r="J71" i="11"/>
  <c r="J76" i="11"/>
  <c r="J62" i="11"/>
  <c r="G59" i="11"/>
  <c r="G73" i="11"/>
  <c r="J73" i="11"/>
  <c r="J59" i="11"/>
  <c r="J75" i="11"/>
  <c r="J61" i="11"/>
  <c r="G72" i="11"/>
  <c r="G58" i="11"/>
  <c r="G61" i="11"/>
  <c r="G75" i="11"/>
  <c r="G67" i="11"/>
  <c r="G53" i="11"/>
  <c r="J69" i="11"/>
  <c r="J55" i="11"/>
  <c r="G78" i="11"/>
  <c r="G64" i="11"/>
  <c r="J72" i="11"/>
  <c r="J58" i="11"/>
  <c r="G77" i="11"/>
  <c r="G63" i="11"/>
  <c r="G33" i="11"/>
  <c r="J67" i="11"/>
  <c r="J53" i="11"/>
  <c r="G69" i="11"/>
  <c r="G55" i="11"/>
  <c r="J77" i="11"/>
  <c r="J63" i="11"/>
  <c r="J66" i="11"/>
  <c r="J52" i="11"/>
  <c r="J70" i="11"/>
  <c r="J56" i="11"/>
  <c r="J54" i="11"/>
  <c r="J68" i="11"/>
  <c r="G76" i="11"/>
  <c r="G62" i="11"/>
  <c r="G66" i="11"/>
  <c r="G52" i="11"/>
  <c r="G70" i="11"/>
  <c r="G56" i="11"/>
  <c r="G47" i="11"/>
  <c r="K28" i="14"/>
  <c r="K38" i="14" s="1"/>
  <c r="K21" i="14"/>
  <c r="K44" i="14" s="1"/>
  <c r="K17" i="14"/>
  <c r="K46" i="14" s="1"/>
  <c r="K24" i="14"/>
  <c r="K39" i="14" s="1"/>
  <c r="K25" i="14"/>
  <c r="K51" i="14" s="1"/>
  <c r="K6" i="14"/>
  <c r="K42" i="14" s="1"/>
  <c r="K30" i="14"/>
  <c r="K45" i="14" s="1"/>
  <c r="K32" i="14"/>
  <c r="K37" i="14" s="1"/>
  <c r="H57" i="14"/>
  <c r="F76" i="14"/>
  <c r="F65" i="14" s="1"/>
  <c r="F62" i="14"/>
  <c r="K70" i="14"/>
  <c r="K56" i="14"/>
  <c r="G51" i="14"/>
  <c r="G48" i="14"/>
  <c r="F39" i="14"/>
  <c r="K73" i="14"/>
  <c r="K59" i="14"/>
  <c r="G61" i="14"/>
  <c r="G75" i="14"/>
  <c r="G67" i="14"/>
  <c r="G53" i="14"/>
  <c r="G58" i="14"/>
  <c r="G72" i="14"/>
  <c r="G42" i="14"/>
  <c r="K52" i="14"/>
  <c r="K66" i="14"/>
  <c r="G38" i="14"/>
  <c r="F35" i="14"/>
  <c r="G78" i="14"/>
  <c r="G64" i="14"/>
  <c r="G59" i="14"/>
  <c r="G73" i="14"/>
  <c r="G66" i="14"/>
  <c r="G52" i="14"/>
  <c r="K69" i="14"/>
  <c r="K55" i="14"/>
  <c r="G37" i="14"/>
  <c r="G34" i="14"/>
  <c r="H71" i="14"/>
  <c r="F42" i="14"/>
  <c r="F47" i="14"/>
  <c r="F69" i="14"/>
  <c r="F55" i="14"/>
  <c r="G46" i="14"/>
  <c r="G36" i="14"/>
  <c r="G74" i="14"/>
  <c r="G60" i="14"/>
  <c r="K63" i="14"/>
  <c r="K77" i="14"/>
  <c r="G54" i="14"/>
  <c r="G68" i="14"/>
  <c r="F45" i="14"/>
  <c r="G69" i="14"/>
  <c r="G55" i="14"/>
  <c r="K68" i="14"/>
  <c r="K54" i="14"/>
  <c r="K72" i="14"/>
  <c r="K58" i="14"/>
  <c r="K61" i="14"/>
  <c r="K75" i="14"/>
  <c r="G45" i="14"/>
  <c r="G39" i="14"/>
  <c r="F43" i="14"/>
  <c r="K74" i="14"/>
  <c r="K60" i="14"/>
  <c r="G44" i="14"/>
  <c r="G76" i="14"/>
  <c r="G62" i="14"/>
  <c r="G70" i="14"/>
  <c r="G56" i="14"/>
  <c r="K76" i="14"/>
  <c r="K62" i="14"/>
  <c r="G63" i="14"/>
  <c r="G77" i="14"/>
  <c r="H65" i="8"/>
  <c r="F65" i="8"/>
  <c r="H50" i="8"/>
  <c r="K74" i="8"/>
  <c r="K60" i="8"/>
  <c r="K67" i="8"/>
  <c r="K53" i="8"/>
  <c r="H73" i="3"/>
  <c r="I56" i="3"/>
  <c r="I70" i="3"/>
  <c r="F33" i="3"/>
  <c r="H70" i="3"/>
  <c r="E33" i="4"/>
  <c r="K33" i="4" s="1"/>
  <c r="H57" i="3"/>
  <c r="K30" i="12"/>
  <c r="K45" i="12" s="1"/>
  <c r="J30" i="18"/>
  <c r="H30" i="12"/>
  <c r="F50" i="4"/>
  <c r="E50" i="4"/>
  <c r="K50" i="4" s="1"/>
  <c r="G50" i="4"/>
  <c r="K62" i="4"/>
  <c r="H54" i="4"/>
  <c r="H50" i="4" s="1"/>
  <c r="K55" i="4"/>
  <c r="K58" i="4"/>
  <c r="K56" i="4"/>
  <c r="H47" i="4"/>
  <c r="L44" i="3"/>
  <c r="E33" i="3"/>
  <c r="L33" i="3" s="1"/>
  <c r="I57" i="3"/>
  <c r="F62" i="3"/>
  <c r="H62" i="3" s="1"/>
  <c r="J5" i="18"/>
  <c r="H5" i="12"/>
  <c r="J12" i="18"/>
  <c r="H12" i="12"/>
  <c r="J24" i="18"/>
  <c r="H24" i="12"/>
  <c r="F12" i="11"/>
  <c r="F48" i="11" s="1"/>
  <c r="F28" i="11"/>
  <c r="F38" i="11" s="1"/>
  <c r="H38" i="11" s="1"/>
  <c r="F27" i="11"/>
  <c r="F16" i="11"/>
  <c r="F36" i="11" s="1"/>
  <c r="H36" i="11" s="1"/>
  <c r="F19" i="11"/>
  <c r="I43" i="11"/>
  <c r="F10" i="11"/>
  <c r="F43" i="11" s="1"/>
  <c r="H43" i="11" s="1"/>
  <c r="F13" i="11"/>
  <c r="F41" i="11" s="1"/>
  <c r="H41" i="11" s="1"/>
  <c r="I41" i="11"/>
  <c r="I35" i="11"/>
  <c r="F15" i="11"/>
  <c r="F35" i="11" s="1"/>
  <c r="H35" i="11" s="1"/>
  <c r="F22" i="11"/>
  <c r="F29" i="11"/>
  <c r="F11" i="11"/>
  <c r="F31" i="11"/>
  <c r="F24" i="11"/>
  <c r="F39" i="11" s="1"/>
  <c r="H39" i="11" s="1"/>
  <c r="F9" i="11"/>
  <c r="F25" i="11"/>
  <c r="F51" i="11" s="1"/>
  <c r="I51" i="11"/>
  <c r="F26" i="11"/>
  <c r="F18" i="11"/>
  <c r="F30" i="11"/>
  <c r="F45" i="11" s="1"/>
  <c r="H45" i="11" s="1"/>
  <c r="I45" i="11"/>
  <c r="F7" i="11"/>
  <c r="F6" i="11"/>
  <c r="F42" i="11" s="1"/>
  <c r="H42" i="11" s="1"/>
  <c r="F5" i="11"/>
  <c r="F34" i="11" s="1"/>
  <c r="I34" i="11"/>
  <c r="I37" i="11"/>
  <c r="F32" i="11"/>
  <c r="F37" i="11" s="1"/>
  <c r="H37" i="11" s="1"/>
  <c r="F20" i="11"/>
  <c r="F21" i="11"/>
  <c r="F44" i="11" s="1"/>
  <c r="H44" i="11" s="1"/>
  <c r="F14" i="11"/>
  <c r="F23" i="11"/>
  <c r="I49" i="11"/>
  <c r="F8" i="11"/>
  <c r="F49" i="11" s="1"/>
  <c r="H49" i="11" s="1"/>
  <c r="F17" i="11"/>
  <c r="F46" i="11" s="1"/>
  <c r="H46" i="11" s="1"/>
  <c r="I40" i="11"/>
  <c r="F4" i="11"/>
  <c r="F40" i="11" s="1"/>
  <c r="H40" i="11" s="1"/>
  <c r="L17" i="14"/>
  <c r="H17" i="14"/>
  <c r="L18" i="14"/>
  <c r="H18" i="14"/>
  <c r="L22" i="14"/>
  <c r="H22" i="14"/>
  <c r="L32" i="14"/>
  <c r="H32" i="14"/>
  <c r="L6" i="14"/>
  <c r="H6" i="14"/>
  <c r="L21" i="14"/>
  <c r="H21" i="14"/>
  <c r="L27" i="14"/>
  <c r="H27" i="14"/>
  <c r="L25" i="14"/>
  <c r="H25" i="14"/>
  <c r="L28" i="14"/>
  <c r="H28" i="14"/>
  <c r="L30" i="14"/>
  <c r="H30" i="14"/>
  <c r="L31" i="14"/>
  <c r="H31" i="14"/>
  <c r="L19" i="14"/>
  <c r="H19" i="14"/>
  <c r="L9" i="14"/>
  <c r="H9" i="14"/>
  <c r="L24" i="14"/>
  <c r="H24" i="14"/>
  <c r="L20" i="14"/>
  <c r="H20" i="14"/>
  <c r="L26" i="14"/>
  <c r="H26" i="14"/>
  <c r="K57" i="4"/>
  <c r="K60" i="4"/>
  <c r="K61" i="4"/>
  <c r="K59" i="4"/>
  <c r="K63" i="4"/>
  <c r="K53" i="4"/>
  <c r="K59" i="3"/>
  <c r="L47" i="3"/>
  <c r="K47" i="3"/>
  <c r="H33" i="3"/>
  <c r="G50" i="3"/>
  <c r="K56" i="3"/>
  <c r="K61" i="3"/>
  <c r="K60" i="3"/>
  <c r="K58" i="3"/>
  <c r="K57" i="3"/>
  <c r="K55" i="3"/>
  <c r="K65" i="3"/>
  <c r="H22" i="11"/>
  <c r="H29" i="11"/>
  <c r="H31" i="11"/>
  <c r="L51" i="3"/>
  <c r="E50" i="3"/>
  <c r="K50" i="3" s="1"/>
  <c r="H26" i="11"/>
  <c r="H7" i="11"/>
  <c r="H32" i="11"/>
  <c r="H15" i="11"/>
  <c r="K35" i="11"/>
  <c r="H16" i="11"/>
  <c r="K36" i="11"/>
  <c r="H18" i="11"/>
  <c r="H4" i="11"/>
  <c r="K40" i="11"/>
  <c r="H23" i="11"/>
  <c r="K49" i="11"/>
  <c r="H8" i="11"/>
  <c r="K39" i="11"/>
  <c r="H24" i="11"/>
  <c r="K42" i="11"/>
  <c r="H6" i="11"/>
  <c r="H5" i="11"/>
  <c r="K34" i="11"/>
  <c r="H9" i="11"/>
  <c r="H20" i="11"/>
  <c r="K51" i="11"/>
  <c r="H25" i="11"/>
  <c r="K43" i="11"/>
  <c r="H10" i="11"/>
  <c r="H12" i="11"/>
  <c r="K46" i="11"/>
  <c r="H17" i="11"/>
  <c r="K45" i="11"/>
  <c r="H30" i="11"/>
  <c r="H19" i="11"/>
  <c r="H14" i="11"/>
  <c r="H28" i="11"/>
  <c r="H11" i="11"/>
  <c r="H13" i="11"/>
  <c r="H27" i="11"/>
  <c r="F50" i="3" l="1"/>
  <c r="K52" i="12"/>
  <c r="K66" i="12"/>
  <c r="H65" i="9"/>
  <c r="H50" i="15"/>
  <c r="K33" i="3"/>
  <c r="L21" i="11"/>
  <c r="K21" i="11"/>
  <c r="K44" i="11" s="1"/>
  <c r="H56" i="12"/>
  <c r="H50" i="12" s="1"/>
  <c r="F50" i="12"/>
  <c r="C65" i="11"/>
  <c r="I65" i="11" s="1"/>
  <c r="E70" i="11"/>
  <c r="L70" i="11" s="1"/>
  <c r="H65" i="15"/>
  <c r="E48" i="11"/>
  <c r="C47" i="11"/>
  <c r="I47" i="11" s="1"/>
  <c r="L32" i="11"/>
  <c r="K32" i="11"/>
  <c r="K37" i="11" s="1"/>
  <c r="E51" i="11"/>
  <c r="C50" i="11"/>
  <c r="I50" i="11" s="1"/>
  <c r="E34" i="11"/>
  <c r="C33" i="11"/>
  <c r="I33" i="11" s="1"/>
  <c r="H65" i="12"/>
  <c r="L66" i="11"/>
  <c r="E65" i="11"/>
  <c r="L20" i="11"/>
  <c r="K20" i="11"/>
  <c r="H65" i="3"/>
  <c r="H67" i="14"/>
  <c r="H53" i="14"/>
  <c r="H78" i="14"/>
  <c r="L46" i="14"/>
  <c r="H66" i="14"/>
  <c r="H72" i="14"/>
  <c r="L53" i="14"/>
  <c r="L57" i="14"/>
  <c r="L38" i="14"/>
  <c r="L54" i="14"/>
  <c r="L56" i="14"/>
  <c r="H54" i="14"/>
  <c r="H73" i="14"/>
  <c r="G47" i="14"/>
  <c r="L35" i="14"/>
  <c r="L34" i="14"/>
  <c r="E33" i="14"/>
  <c r="L73" i="14"/>
  <c r="H59" i="14"/>
  <c r="L45" i="14"/>
  <c r="L64" i="14"/>
  <c r="L77" i="14"/>
  <c r="H44" i="14"/>
  <c r="H42" i="14"/>
  <c r="H64" i="14"/>
  <c r="H58" i="14"/>
  <c r="L76" i="14"/>
  <c r="L59" i="14"/>
  <c r="L52" i="14"/>
  <c r="H61" i="14"/>
  <c r="H52" i="14"/>
  <c r="L70" i="14"/>
  <c r="L55" i="14"/>
  <c r="L67" i="14"/>
  <c r="L63" i="14"/>
  <c r="L71" i="14"/>
  <c r="H77" i="14"/>
  <c r="H60" i="14"/>
  <c r="L58" i="14"/>
  <c r="L42" i="14"/>
  <c r="H63" i="14"/>
  <c r="H43" i="14"/>
  <c r="H74" i="14"/>
  <c r="L60" i="14"/>
  <c r="L36" i="14"/>
  <c r="L72" i="14"/>
  <c r="L48" i="14"/>
  <c r="E47" i="14"/>
  <c r="L44" i="14"/>
  <c r="H37" i="14"/>
  <c r="L39" i="14"/>
  <c r="L66" i="14"/>
  <c r="E65" i="14"/>
  <c r="H46" i="14"/>
  <c r="L69" i="14"/>
  <c r="L62" i="14"/>
  <c r="L68" i="14"/>
  <c r="L43" i="14"/>
  <c r="H38" i="14"/>
  <c r="L78" i="14"/>
  <c r="L75" i="14"/>
  <c r="L51" i="14"/>
  <c r="E50" i="14"/>
  <c r="L41" i="14"/>
  <c r="L49" i="14"/>
  <c r="L40" i="14"/>
  <c r="L37" i="14"/>
  <c r="L61" i="14"/>
  <c r="L74" i="14"/>
  <c r="G50" i="11"/>
  <c r="K68" i="11"/>
  <c r="K54" i="11"/>
  <c r="K78" i="11"/>
  <c r="K64" i="11"/>
  <c r="H34" i="11"/>
  <c r="H33" i="11" s="1"/>
  <c r="F33" i="11"/>
  <c r="F58" i="11"/>
  <c r="H58" i="11" s="1"/>
  <c r="F72" i="11"/>
  <c r="H72" i="11" s="1"/>
  <c r="F67" i="11"/>
  <c r="H67" i="11" s="1"/>
  <c r="F53" i="11"/>
  <c r="H53" i="11" s="1"/>
  <c r="I54" i="11"/>
  <c r="I68" i="11"/>
  <c r="K73" i="11"/>
  <c r="K59" i="11"/>
  <c r="I67" i="11"/>
  <c r="I53" i="11"/>
  <c r="F68" i="11"/>
  <c r="H68" i="11" s="1"/>
  <c r="F54" i="11"/>
  <c r="H54" i="11" s="1"/>
  <c r="F56" i="11"/>
  <c r="H56" i="11" s="1"/>
  <c r="F70" i="11"/>
  <c r="I72" i="11"/>
  <c r="I58" i="11"/>
  <c r="F74" i="11"/>
  <c r="H74" i="11" s="1"/>
  <c r="F60" i="11"/>
  <c r="H60" i="11" s="1"/>
  <c r="F73" i="11"/>
  <c r="H73" i="11" s="1"/>
  <c r="F59" i="11"/>
  <c r="H59" i="11" s="1"/>
  <c r="I56" i="11"/>
  <c r="I70" i="11"/>
  <c r="H48" i="11"/>
  <c r="H47" i="11" s="1"/>
  <c r="F47" i="11"/>
  <c r="K76" i="11"/>
  <c r="K62" i="11"/>
  <c r="K66" i="11"/>
  <c r="K52" i="11"/>
  <c r="K70" i="11"/>
  <c r="K56" i="11"/>
  <c r="I76" i="11"/>
  <c r="I62" i="11"/>
  <c r="I74" i="11"/>
  <c r="I60" i="11"/>
  <c r="I73" i="11"/>
  <c r="I59" i="11"/>
  <c r="I66" i="11"/>
  <c r="I52" i="11"/>
  <c r="K57" i="11"/>
  <c r="K71" i="11"/>
  <c r="K67" i="11"/>
  <c r="K53" i="11"/>
  <c r="K60" i="11"/>
  <c r="K74" i="11"/>
  <c r="K72" i="11"/>
  <c r="K58" i="11"/>
  <c r="F76" i="11"/>
  <c r="H76" i="11" s="1"/>
  <c r="F62" i="11"/>
  <c r="H62" i="11" s="1"/>
  <c r="F69" i="11"/>
  <c r="H69" i="11" s="1"/>
  <c r="F55" i="11"/>
  <c r="H55" i="11" s="1"/>
  <c r="F78" i="11"/>
  <c r="H78" i="11" s="1"/>
  <c r="F64" i="11"/>
  <c r="H64" i="11" s="1"/>
  <c r="F66" i="11"/>
  <c r="H66" i="11" s="1"/>
  <c r="F52" i="11"/>
  <c r="H52" i="11" s="1"/>
  <c r="K69" i="11"/>
  <c r="K55" i="11"/>
  <c r="I69" i="11"/>
  <c r="I55" i="11"/>
  <c r="H51" i="11"/>
  <c r="I64" i="11"/>
  <c r="I78" i="11"/>
  <c r="K75" i="11"/>
  <c r="K61" i="11"/>
  <c r="F77" i="11"/>
  <c r="H77" i="11" s="1"/>
  <c r="F63" i="11"/>
  <c r="H63" i="11" s="1"/>
  <c r="F61" i="11"/>
  <c r="H61" i="11" s="1"/>
  <c r="F75" i="11"/>
  <c r="H75" i="11" s="1"/>
  <c r="I71" i="11"/>
  <c r="I57" i="11"/>
  <c r="G65" i="11"/>
  <c r="K77" i="11"/>
  <c r="K63" i="11"/>
  <c r="I77" i="11"/>
  <c r="I63" i="11"/>
  <c r="I75" i="11"/>
  <c r="I61" i="11"/>
  <c r="F71" i="11"/>
  <c r="H71" i="11" s="1"/>
  <c r="F57" i="11"/>
  <c r="H57" i="11" s="1"/>
  <c r="H68" i="14"/>
  <c r="H45" i="14"/>
  <c r="H48" i="14"/>
  <c r="G50" i="14"/>
  <c r="H51" i="14"/>
  <c r="H55" i="14"/>
  <c r="H69" i="14"/>
  <c r="G65" i="14"/>
  <c r="G33" i="14"/>
  <c r="H34" i="14"/>
  <c r="H39" i="14"/>
  <c r="H62" i="14"/>
  <c r="H75" i="14"/>
  <c r="H35" i="14"/>
  <c r="F33" i="14"/>
  <c r="H76" i="14"/>
  <c r="H56" i="14"/>
  <c r="H70" i="14"/>
  <c r="H36" i="14"/>
  <c r="F50" i="14"/>
  <c r="L65" i="3"/>
  <c r="H50" i="3"/>
  <c r="L50" i="3"/>
  <c r="K65" i="11" l="1"/>
  <c r="L65" i="11"/>
  <c r="L51" i="11"/>
  <c r="E50" i="11"/>
  <c r="L48" i="11"/>
  <c r="E47" i="11"/>
  <c r="L34" i="11"/>
  <c r="E33" i="11"/>
  <c r="F50" i="11"/>
  <c r="L50" i="14"/>
  <c r="K50" i="14"/>
  <c r="L47" i="14"/>
  <c r="K47" i="14"/>
  <c r="K33" i="14"/>
  <c r="L33" i="14"/>
  <c r="L65" i="14"/>
  <c r="K65" i="14"/>
  <c r="H70" i="11"/>
  <c r="H65" i="11" s="1"/>
  <c r="F65" i="11"/>
  <c r="H50" i="11"/>
  <c r="H47" i="14"/>
  <c r="H65" i="14"/>
  <c r="H33" i="14"/>
  <c r="H50" i="14"/>
  <c r="L33" i="11" l="1"/>
  <c r="K33" i="11"/>
  <c r="L47" i="11"/>
  <c r="K47" i="11"/>
  <c r="K50" i="11"/>
  <c r="L50"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<sst xmlns="http://schemas.openxmlformats.org/spreadsheetml/2006/main" count="2838" uniqueCount="275">
  <si>
    <t>ANALYSIS</t>
  </si>
  <si>
    <t>DCFO107_AD</t>
  </si>
  <si>
    <t>DCFO107_PC</t>
  </si>
  <si>
    <t>DCFO107</t>
  </si>
  <si>
    <t>DCFI107_AD</t>
  </si>
  <si>
    <t>DCFI107_PC</t>
  </si>
  <si>
    <t>DCFI107</t>
  </si>
  <si>
    <t>DCFX107</t>
  </si>
  <si>
    <t>DCFXSUB107</t>
  </si>
  <si>
    <t>DCFXIMM107</t>
  </si>
  <si>
    <t>DCFXGP107</t>
  </si>
  <si>
    <t>DCFXSV1107</t>
  </si>
  <si>
    <t>DCFXSV5107</t>
  </si>
  <si>
    <t>DCFXSV15107</t>
  </si>
  <si>
    <t>Am-241</t>
  </si>
  <si>
    <t>At-217</t>
  </si>
  <si>
    <t>At-218</t>
  </si>
  <si>
    <t>Cs-137</t>
  </si>
  <si>
    <t>Ba-137m</t>
  </si>
  <si>
    <t>Bi-210</t>
  </si>
  <si>
    <t>Bi-213</t>
  </si>
  <si>
    <t>Bi-214</t>
  </si>
  <si>
    <t>Hg-206</t>
  </si>
  <si>
    <t>Ac-225</t>
  </si>
  <si>
    <t>Fr-221</t>
  </si>
  <si>
    <t>U-233</t>
  </si>
  <si>
    <t>Ra-225</t>
  </si>
  <si>
    <t>Ra-226</t>
  </si>
  <si>
    <t>Np-237</t>
  </si>
  <si>
    <t>Pa-233</t>
  </si>
  <si>
    <t>Rn-218</t>
  </si>
  <si>
    <t>Rn-222</t>
  </si>
  <si>
    <t>Pb-209</t>
  </si>
  <si>
    <t>Pb-210</t>
  </si>
  <si>
    <t>Pb-214</t>
  </si>
  <si>
    <t>Th-229</t>
  </si>
  <si>
    <t>Po-210</t>
  </si>
  <si>
    <t>Po-213</t>
  </si>
  <si>
    <t>Po-214</t>
  </si>
  <si>
    <t>Po-218</t>
  </si>
  <si>
    <t>Tl-206</t>
  </si>
  <si>
    <t>Tl-209</t>
  </si>
  <si>
    <t>Tl-210</t>
  </si>
  <si>
    <t>TEST</t>
  </si>
  <si>
    <t>Y</t>
  </si>
  <si>
    <t>General</t>
  </si>
  <si>
    <t>Resident</t>
  </si>
  <si>
    <t>Indoor Worker</t>
  </si>
  <si>
    <t>DL</t>
  </si>
  <si>
    <t>tres</t>
  </si>
  <si>
    <t>tiw</t>
  </si>
  <si>
    <t>mrem/year</t>
  </si>
  <si>
    <t>year</t>
  </si>
  <si>
    <t>k</t>
  </si>
  <si>
    <t>Fin</t>
  </si>
  <si>
    <t>Fam</t>
  </si>
  <si>
    <t>Foff</t>
  </si>
  <si>
    <t>AAFc</t>
  </si>
  <si>
    <t>AAFa</t>
  </si>
  <si>
    <t>SE</t>
  </si>
  <si>
    <t>1 bq =</t>
  </si>
  <si>
    <t>pCi</t>
  </si>
  <si>
    <t>EFres-c</t>
  </si>
  <si>
    <t>EFres-a</t>
  </si>
  <si>
    <t>EFres</t>
  </si>
  <si>
    <t>ETres</t>
  </si>
  <si>
    <t>ETres-a,h</t>
  </si>
  <si>
    <t>ETres-c,h</t>
  </si>
  <si>
    <t>ETres-a,s</t>
  </si>
  <si>
    <t>ETres-c,s</t>
  </si>
  <si>
    <t>days/year</t>
  </si>
  <si>
    <t>hours/day</t>
  </si>
  <si>
    <t>SAres-c</t>
  </si>
  <si>
    <t>SAres-a</t>
  </si>
  <si>
    <t>event/hour</t>
  </si>
  <si>
    <t>FQres-c</t>
  </si>
  <si>
    <t>FQres-a</t>
  </si>
  <si>
    <t>ETres-c</t>
  </si>
  <si>
    <t>ETres-a</t>
  </si>
  <si>
    <t>YHALFLIFE</t>
  </si>
  <si>
    <t>LAMBDA</t>
  </si>
  <si>
    <t>MASS</t>
  </si>
  <si>
    <t>GSFa</t>
  </si>
  <si>
    <t>GSFb</t>
  </si>
  <si>
    <t>EFiw</t>
  </si>
  <si>
    <t>ETiw</t>
  </si>
  <si>
    <t>ETiw,h</t>
  </si>
  <si>
    <t>ETiw,s</t>
  </si>
  <si>
    <t>SAiw</t>
  </si>
  <si>
    <t>FQiw</t>
  </si>
  <si>
    <t>IRAiw</t>
  </si>
  <si>
    <t>s_DL</t>
  </si>
  <si>
    <t>s_k</t>
  </si>
  <si>
    <t>s_Fin</t>
  </si>
  <si>
    <t>s_Fam</t>
  </si>
  <si>
    <t>s_Foff</t>
  </si>
  <si>
    <t>s_SE</t>
  </si>
  <si>
    <t>s_1 bq =</t>
  </si>
  <si>
    <t>s_tres</t>
  </si>
  <si>
    <t>s_AAFc</t>
  </si>
  <si>
    <t>s_AAFa</t>
  </si>
  <si>
    <t>s_EFres-c</t>
  </si>
  <si>
    <t>s_EFres-a</t>
  </si>
  <si>
    <t>s_EFres</t>
  </si>
  <si>
    <t>s_ETres</t>
  </si>
  <si>
    <t>s_ETres-c</t>
  </si>
  <si>
    <t>s_ETres-a</t>
  </si>
  <si>
    <t>s_ETres-a,h</t>
  </si>
  <si>
    <t>s_ETres-c,h</t>
  </si>
  <si>
    <t>s_ETres-a,s</t>
  </si>
  <si>
    <t>s_ETres-c,s</t>
  </si>
  <si>
    <t>s_SAres-c</t>
  </si>
  <si>
    <t>s_SAres-a</t>
  </si>
  <si>
    <t>s_FQres-c</t>
  </si>
  <si>
    <t>s_FQres-a</t>
  </si>
  <si>
    <t>s_GSFa</t>
  </si>
  <si>
    <t>s_GSFb</t>
  </si>
  <si>
    <t>s_tiw</t>
  </si>
  <si>
    <t>s_EFiw</t>
  </si>
  <si>
    <t>s_ETiw</t>
  </si>
  <si>
    <t>s_ETiw,h</t>
  </si>
  <si>
    <t>s_ETiw,s</t>
  </si>
  <si>
    <t>s_SAiw</t>
  </si>
  <si>
    <t>s_FQiw</t>
  </si>
  <si>
    <t>s_IRAiw</t>
  </si>
  <si>
    <t>D_FSURFGP</t>
  </si>
  <si>
    <t>D_FSURFSV</t>
  </si>
  <si>
    <t>D_FSURFSV1</t>
  </si>
  <si>
    <t>D_FSURFSV5</t>
  </si>
  <si>
    <t>D_FSURFSV15</t>
  </si>
  <si>
    <t>Fi</t>
  </si>
  <si>
    <t>IFDres-adj</t>
  </si>
  <si>
    <t>IFAres-adj</t>
  </si>
  <si>
    <t>IRAres-c</t>
  </si>
  <si>
    <t>IRAres-a</t>
  </si>
  <si>
    <t>res_dust_ing</t>
  </si>
  <si>
    <t>res_dust_ext</t>
  </si>
  <si>
    <t>res_dust_tot</t>
  </si>
  <si>
    <t>Bq</t>
  </si>
  <si>
    <t>Mass</t>
  </si>
  <si>
    <t>(pCi/cm²)</t>
  </si>
  <si>
    <t>(bq/cm²)</t>
  </si>
  <si>
    <t>(mg/cm²)</t>
  </si>
  <si>
    <t>(pCi/m³)</t>
  </si>
  <si>
    <t>(bq/m³)</t>
  </si>
  <si>
    <t>(mg/m³)</t>
  </si>
  <si>
    <t>res_3D_ext_sv</t>
  </si>
  <si>
    <t>res_3D_ext_gp</t>
  </si>
  <si>
    <t>res_3D_ext_sv1</t>
  </si>
  <si>
    <t>res_3D_ext_sv5</t>
  </si>
  <si>
    <t>res_3D_ext_sv15</t>
  </si>
  <si>
    <t>(pCi/g)</t>
  </si>
  <si>
    <t>(Bq/g)</t>
  </si>
  <si>
    <t>(Bq/cm²)</t>
  </si>
  <si>
    <t>ind_3D_ext_sv</t>
  </si>
  <si>
    <t>ind_3D_ext_gp</t>
  </si>
  <si>
    <t>ind_3D_ext_sv1</t>
  </si>
  <si>
    <t>ind_3D_ext_sv5</t>
  </si>
  <si>
    <t>ind_3D_ext_sv15</t>
  </si>
  <si>
    <t>ind_dust_ing</t>
  </si>
  <si>
    <t>ind_dust_ext</t>
  </si>
  <si>
    <t>ind_dust_tot</t>
  </si>
  <si>
    <t>s_Fi</t>
  </si>
  <si>
    <t>s_IRAres-c</t>
  </si>
  <si>
    <t>s_IRAres-a</t>
  </si>
  <si>
    <t>s_IFDres-adj</t>
  </si>
  <si>
    <t>s_IFAres-adj</t>
  </si>
  <si>
    <t>S_FSURFGP</t>
  </si>
  <si>
    <t>S_FSURFSV</t>
  </si>
  <si>
    <t>S_FSURFSV1</t>
  </si>
  <si>
    <t>S_FSURFSV5</t>
  </si>
  <si>
    <t>S_FSURFSV15</t>
  </si>
  <si>
    <t>k_decay</t>
  </si>
  <si>
    <t>k_decay_iw</t>
  </si>
  <si>
    <t>s_C</t>
  </si>
  <si>
    <t>~Am-241</t>
  </si>
  <si>
    <t>~Np-237</t>
  </si>
  <si>
    <t>~Pa-233</t>
  </si>
  <si>
    <t>~U-233</t>
  </si>
  <si>
    <t>~Th-229</t>
  </si>
  <si>
    <t>~Ra-225</t>
  </si>
  <si>
    <t>~Ac-225</t>
  </si>
  <si>
    <t>~Fr-221</t>
  </si>
  <si>
    <t>~At-217</t>
  </si>
  <si>
    <t>~Bi-213</t>
  </si>
  <si>
    <t>~Po-213</t>
  </si>
  <si>
    <t>~Tl-209</t>
  </si>
  <si>
    <t>~Pb-209</t>
  </si>
  <si>
    <t>~Cs-137</t>
  </si>
  <si>
    <t>~Ba-137m</t>
  </si>
  <si>
    <t>~Ra-226</t>
  </si>
  <si>
    <t>~Rn-222</t>
  </si>
  <si>
    <t>~Po-218</t>
  </si>
  <si>
    <t>~Pb-214</t>
  </si>
  <si>
    <t>~At-218</t>
  </si>
  <si>
    <t>~Bi-214</t>
  </si>
  <si>
    <t>~Rn-218</t>
  </si>
  <si>
    <t>~Po-214</t>
  </si>
  <si>
    <t>~Tl-210</t>
  </si>
  <si>
    <t>~Pb-210</t>
  </si>
  <si>
    <t>~Bi-210</t>
  </si>
  <si>
    <t>~Hg-206</t>
  </si>
  <si>
    <t>~Po-210</t>
  </si>
  <si>
    <t>~Tl-206</t>
  </si>
  <si>
    <t>Site-Specific F-Surf is Composite 1, Corner, 10x10x10</t>
  </si>
  <si>
    <t>res_air_inh</t>
  </si>
  <si>
    <t>res_air_sub</t>
  </si>
  <si>
    <t>res_air_tot</t>
  </si>
  <si>
    <t>INSTRUCTIONS</t>
  </si>
  <si>
    <t xml:space="preserve">This file is managed by Karessa Manning. Other users will have limited editing power when using this spreadsheet. If you find something that you feel needs to be corrected please contact Karessa Manning so it can be resolved. </t>
  </si>
  <si>
    <t xml:space="preserve">The point of this QA sheet is to replicate the 'Default' and 'Site-Specific with Defaults' output results of the BDCC (Dose Compliance Concentrations for Radionuclides in Buildings at Superfund Sites) calculator. Below are instructions for understanding the ins and outs of this spreadsheet. </t>
  </si>
  <si>
    <t>Tab Descriptions</t>
  </si>
  <si>
    <t>These tabs present the dose for site-specific BDCCs based on user inputs.</t>
  </si>
  <si>
    <r>
      <t>The</t>
    </r>
    <r>
      <rPr>
        <i/>
        <sz val="11"/>
        <rFont val="Arial"/>
        <family val="2"/>
      </rPr>
      <t xml:space="preserve"> 'Doses' </t>
    </r>
    <r>
      <rPr>
        <sz val="11"/>
        <rFont val="Arial"/>
        <family val="2"/>
      </rPr>
      <t>tab contains all DCFs from the RAIS database table 'RAD_DOSES_ICRP107'.</t>
    </r>
  </si>
  <si>
    <t>The 'd' tab contains all the non isotope specific default values that are used to calculate BDCC in the defaults tabs.</t>
  </si>
  <si>
    <t>Relevant Cell Descriptions on Green Tabs</t>
  </si>
  <si>
    <t>These cells, in column A, represent the primary QA isotopes.</t>
  </si>
  <si>
    <t>These cells, in column A, represent the progeny for the primary QA isotopes.</t>
  </si>
  <si>
    <r>
      <t xml:space="preserve">In column B, under the </t>
    </r>
    <r>
      <rPr>
        <b/>
        <sz val="10"/>
        <rFont val="Arial"/>
        <family val="2"/>
      </rPr>
      <t xml:space="preserve">'TEST' </t>
    </r>
    <r>
      <rPr>
        <sz val="10"/>
        <rFont val="Arial"/>
        <family val="2"/>
      </rPr>
      <t>filter, a value of '</t>
    </r>
    <r>
      <rPr>
        <b/>
        <sz val="10"/>
        <rFont val="Arial"/>
        <family val="2"/>
      </rPr>
      <t>Y</t>
    </r>
    <r>
      <rPr>
        <sz val="10"/>
        <rFont val="Arial"/>
        <family val="2"/>
      </rPr>
      <t>' means it is a primary test isotope and '</t>
    </r>
    <r>
      <rPr>
        <b/>
        <sz val="10"/>
        <rFont val="Arial"/>
        <family val="2"/>
      </rPr>
      <t>SE</t>
    </r>
    <r>
      <rPr>
        <sz val="10"/>
        <rFont val="Arial"/>
        <family val="2"/>
      </rPr>
      <t>' means it is a progeny for a primary test isotope.</t>
    </r>
  </si>
  <si>
    <t>Important Notes</t>
  </si>
  <si>
    <t>These cells, are calculated based on specific inputs and cannot be altered unless the respective inputs are altered.</t>
  </si>
  <si>
    <t xml:space="preserve">The 'ss' tab contains all the non isotope specific site-specific values that are used to calculate BDCCs in the site specific tabs. </t>
  </si>
  <si>
    <r>
      <t>yr</t>
    </r>
    <r>
      <rPr>
        <b/>
        <vertAlign val="superscript"/>
        <sz val="12"/>
        <rFont val="Arial"/>
        <family val="2"/>
      </rPr>
      <t>-</t>
    </r>
    <r>
      <rPr>
        <vertAlign val="superscript"/>
        <sz val="12"/>
        <rFont val="Arial"/>
        <family val="2"/>
      </rPr>
      <t>1</t>
    </r>
  </si>
  <si>
    <t>unitless</t>
  </si>
  <si>
    <r>
      <t>cm</t>
    </r>
    <r>
      <rPr>
        <sz val="11"/>
        <rFont val="Arial"/>
        <family val="2"/>
      </rPr>
      <t>²</t>
    </r>
    <r>
      <rPr>
        <sz val="10"/>
        <rFont val="Arial"/>
        <family val="2"/>
      </rPr>
      <t>/event</t>
    </r>
  </si>
  <si>
    <r>
      <t>m</t>
    </r>
    <r>
      <rPr>
        <sz val="11"/>
        <rFont val="Arial"/>
        <family val="2"/>
      </rPr>
      <t>³</t>
    </r>
    <r>
      <rPr>
        <sz val="10"/>
        <rFont val="Arial"/>
        <family val="2"/>
      </rPr>
      <t>/day</t>
    </r>
  </si>
  <si>
    <r>
      <t>cm</t>
    </r>
    <r>
      <rPr>
        <sz val="11"/>
        <rFont val="Arial"/>
        <family val="2"/>
      </rPr>
      <t>²</t>
    </r>
    <r>
      <rPr>
        <sz val="10"/>
        <rFont val="Arial"/>
        <family val="2"/>
      </rPr>
      <t>/day</t>
    </r>
  </si>
  <si>
    <t>SSL</t>
  </si>
  <si>
    <t>cm/m</t>
  </si>
  <si>
    <t>gram</t>
  </si>
  <si>
    <r>
      <t>cm</t>
    </r>
    <r>
      <rPr>
        <sz val="11"/>
        <rFont val="Arial"/>
        <family val="2"/>
      </rPr>
      <t>²</t>
    </r>
    <r>
      <rPr>
        <sz val="10"/>
        <rFont val="Arial"/>
        <family val="2"/>
      </rPr>
      <t>/year</t>
    </r>
  </si>
  <si>
    <r>
      <t>m</t>
    </r>
    <r>
      <rPr>
        <sz val="11"/>
        <rFont val="Arial"/>
        <family val="2"/>
      </rPr>
      <t>³</t>
    </r>
    <r>
      <rPr>
        <sz val="10"/>
        <rFont val="Arial"/>
        <family val="2"/>
      </rPr>
      <t>/year</t>
    </r>
  </si>
  <si>
    <t>s_SSL</t>
  </si>
  <si>
    <t>dose concentration</t>
  </si>
  <si>
    <t>s_EDres-c</t>
  </si>
  <si>
    <t>years</t>
  </si>
  <si>
    <t>s_EDres-a</t>
  </si>
  <si>
    <t>s_EDres</t>
  </si>
  <si>
    <t>These cells contain the secular equilibrium BDCCs.</t>
  </si>
  <si>
    <t>(mg/kg)</t>
  </si>
  <si>
    <t>ind_air_inh</t>
  </si>
  <si>
    <t>ind_air_sub</t>
  </si>
  <si>
    <t>ind_air_tot</t>
  </si>
  <si>
    <t>These cells contain the fractional contribution of the progeny to the secular equilibrium BDCCs.</t>
  </si>
  <si>
    <t>When testing User Provided, most of the isotope specific information is changed. The isotope specific information can be found on the 'Doses' tab.</t>
  </si>
  <si>
    <r>
      <t xml:space="preserve">These tabs present secular equlibrium BDCCs in units of pCi and Bq for the no decay output options of the BDCC calculator. Tabs that begin with s_ should be used to test the site-specific output and use inputs from the 'ss' tab. Tabs that do </t>
    </r>
    <r>
      <rPr>
        <b/>
        <i/>
        <sz val="11"/>
        <color indexed="9"/>
        <rFont val="Arial"/>
        <family val="2"/>
      </rPr>
      <t>not</t>
    </r>
    <r>
      <rPr>
        <b/>
        <sz val="11"/>
        <color indexed="9"/>
        <rFont val="Arial"/>
        <family val="2"/>
      </rPr>
      <t xml:space="preserve"> begin with s_ should be used to test the default output and use inputs from the 'd' tab.</t>
    </r>
  </si>
  <si>
    <t>FTSSh-a</t>
  </si>
  <si>
    <t>FTSSh-c</t>
  </si>
  <si>
    <t>FTSSs-a</t>
  </si>
  <si>
    <t>FTSSs-c</t>
  </si>
  <si>
    <t>FSAres-c</t>
  </si>
  <si>
    <t>FSAres-a</t>
  </si>
  <si>
    <t>DPM</t>
  </si>
  <si>
    <t>dpm</t>
  </si>
  <si>
    <t>IFDiw</t>
  </si>
  <si>
    <t>s_IFDiw</t>
  </si>
  <si>
    <t>ACFGP</t>
  </si>
  <si>
    <t>ACFGP_20</t>
  </si>
  <si>
    <t>Since this tool is used to calculate 'dose' instead of 'dose', the one hit rule is not employed.</t>
  </si>
  <si>
    <t>s_FSAres-c</t>
  </si>
  <si>
    <t>s_FSAres-a</t>
  </si>
  <si>
    <t>s_FTSSh-a</t>
  </si>
  <si>
    <t>s_FTSSh-c</t>
  </si>
  <si>
    <t>s_FTSSs-a</t>
  </si>
  <si>
    <t>s_FTSSs-c</t>
  </si>
  <si>
    <t>(pCi or Bq)</t>
  </si>
  <si>
    <t>dose</t>
  </si>
  <si>
    <t>res_air_ing</t>
  </si>
  <si>
    <t>res_air_ext</t>
  </si>
  <si>
    <t>ind_air_ing</t>
  </si>
  <si>
    <t>ind_air_ext</t>
  </si>
  <si>
    <t>These cells represent 'dose' for individual progeny.</t>
  </si>
  <si>
    <t>These cells represent 'Total dose' by route and media.</t>
  </si>
  <si>
    <r>
      <t>The '</t>
    </r>
    <r>
      <rPr>
        <i/>
        <sz val="11"/>
        <rFont val="Arial"/>
        <family val="2"/>
      </rPr>
      <t>Isospec</t>
    </r>
    <r>
      <rPr>
        <sz val="11"/>
        <rFont val="Arial"/>
        <family val="2"/>
      </rPr>
      <t>' tab contains all isotope specific values from the RAIS database.</t>
    </r>
  </si>
  <si>
    <t>CDI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</si>
</sst>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1">
    <font>
      <sz val="10"/>
      <name val="Arial"/>
    </font>
    <font>
      <sz val="10"/>
      <name val="Arial"/>
      <family val="2"/>
    </font>
    <font>
      <sz val="10"/>
      <name val="Arial"/>
      <family val="2"/>
    </font>
    <font>
      <sz val="11"/>
      <name val="Arial"/>
      <family val="2"/>
    </font>
    <font>
      <b/>
      <sz val="10"/>
      <name val="Arial"/>
      <family val="2"/>
    </font>
    <font>
      <sz val="10"/>
      <name val="Calibri (body)"/>
    </font>
    <font>
      <b/>
      <sz val="14"/>
      <name val="Arial"/>
      <family val="2"/>
    </font>
    <font>
      <b/>
      <sz val="11"/>
      <name val="Arial"/>
      <family val="2"/>
    </font>
    <font>
      <sz val="12"/>
      <name val="Arial"/>
      <family val="2"/>
    </font>
    <font>
      <b/>
      <sz val="12"/>
      <name val="Arial"/>
      <family val="2"/>
    </font>
    <font>
      <b/>
      <i/>
      <sz val="11"/>
      <color indexed="9"/>
      <name val="Arial"/>
      <family val="2"/>
    </font>
    <font>
      <b/>
      <sz val="11"/>
      <color indexed="9"/>
      <name val="Arial"/>
      <family val="2"/>
    </font>
    <font>
      <i/>
      <sz val="11"/>
      <name val="Arial"/>
      <family val="2"/>
    </font>
    <font>
      <b/>
      <vertAlign val="superscript"/>
      <sz val="12"/>
      <name val="Arial"/>
      <family val="2"/>
    </font>
    <font>
      <vertAlign val="superscript"/>
      <sz val="12"/>
      <name val="Arial"/>
      <family val="2"/>
    </font>
    <font>
      <b/>
      <sz val="22"/>
      <color rgb="FFFF0000"/>
      <name val="Arial"/>
      <family val="2"/>
    </font>
    <font>
      <b/>
      <sz val="11"/>
      <color theme="0"/>
      <name val="Arial"/>
      <family val="2"/>
    </font>
    <font>
      <sz val="10"/>
      <color theme="9" tint="-0.499984740745262"/>
      <name val="Arial"/>
      <family val="2"/>
    </font>
    <font>
      <i/>
      <sz val="10"/>
      <color theme="0"/>
      <name val="Arial"/>
      <family val="2"/>
    </font>
    <font>
      <sz val="10"/>
      <color theme="0"/>
      <name val="Calibri (body)"/>
    </font>
    <font>
      <i/>
      <sz val="10"/>
      <color theme="1"/>
      <name val="Calibri (body)"/>
    </font>
    <font>
      <sz val="10"/>
      <color rgb="FF151515"/>
      <name val="Calibri (body)"/>
    </font>
    <font>
      <i/>
      <sz val="10"/>
      <color theme="0"/>
      <name val="Calibri (body)"/>
    </font>
    <font>
      <b/>
      <sz val="10"/>
      <color rgb="FFFF0000"/>
      <name val="Arial"/>
      <family val="2"/>
    </font>
    <font>
      <sz val="10"/>
      <color theme="0"/>
      <name val="Arial"/>
      <family val="2"/>
    </font>
    <font>
      <b/>
      <sz val="14"/>
      <color theme="1"/>
      <name val="Calibri"/>
      <family val="2"/>
      <scheme val="minor"/>
    </font>
    <font>
      <b/>
      <sz val="11"/>
      <color theme="0"/>
      <name val="Calibri"/>
      <family val="2"/>
      <scheme val="minor"/>
    </font>
    <font>
      <b/>
      <sz val="10"/>
      <name val="Calibri (body)"/>
    </font>
    <font>
      <b/>
      <i/>
      <sz val="11"/>
      <color theme="0"/>
      <name val="Calibri"/>
      <family val="2"/>
      <scheme val="minor"/>
    </font>
    <font>
      <i/>
      <sz val="11"/>
      <color theme="1"/>
      <name val="Calibri"/>
      <family val="2"/>
      <scheme val="minor"/>
    </font>
    <font>
      <sz val="11"/>
      <color rgb="FF151515"/>
      <name val="Calibri"/>
      <family val="2"/>
      <scheme val="minor"/>
    </font>
  </fonts>
  <fills count="16">
    <fill>
      <patternFill patternType="none"/>
    </fill>
    <fill>
      <patternFill patternType="gray125"/>
    </fill>
    <fill>
      <patternFill patternType="solid">
        <fgColor rgb="FF69D8FF"/>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D5F4FF"/>
        <bgColor indexed="64"/>
      </patternFill>
    </fill>
    <fill>
      <patternFill patternType="solid">
        <fgColor rgb="FFAD5BFF"/>
        <bgColor indexed="64"/>
      </patternFill>
    </fill>
    <fill>
      <patternFill patternType="solid">
        <fgColor rgb="FFD9B3FF"/>
        <bgColor indexed="64"/>
      </patternFill>
    </fill>
    <fill>
      <patternFill patternType="solid">
        <fgColor theme="9" tint="-0.49998474074526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F8CBAD"/>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8" tint="0.59999389629810485"/>
        <bgColor indexed="64"/>
      </patternFill>
    </fill>
  </fills>
  <borders count="23">
    <border>
      <left/>
      <right/>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3">
    <xf numFmtId="0" fontId="0" fillId="0" borderId="0"/>
    <xf numFmtId="0" fontId="1" fillId="0" borderId="0"/>
    <xf numFmtId="0" fontId="1" fillId="0" borderId="0"/>
  </cellStyleXfs>
  <cellXfs count="158">
    <xf numFmtId="0" fontId="0" fillId="0" borderId="0" xfId="0" applyProtection="1">
      <protection locked="0"/>
    </xf>
    <xf numFmtId="0" fontId="0" fillId="0" borderId="0" xfId="0" applyAlignment="1" applyProtection="1">
      <alignment horizontal="center"/>
      <protection locked="0"/>
    </xf>
    <xf numFmtId="11" fontId="0" fillId="0" borderId="1" xfId="0" applyNumberFormat="1" applyBorder="1" applyAlignment="1" applyProtection="1">
      <alignment horizontal="center"/>
    </xf>
    <xf numFmtId="11" fontId="0" fillId="0" borderId="0" xfId="0" applyNumberFormat="1" applyBorder="1" applyAlignment="1" applyProtection="1">
      <alignment horizontal="center"/>
    </xf>
    <xf numFmtId="11" fontId="0" fillId="0" borderId="2" xfId="0" applyNumberFormat="1" applyBorder="1" applyAlignment="1" applyProtection="1">
      <alignment horizontal="center"/>
    </xf>
    <xf numFmtId="11" fontId="0" fillId="0" borderId="9" xfId="0" applyNumberFormat="1" applyBorder="1" applyAlignment="1" applyProtection="1">
      <alignment horizontal="center"/>
    </xf>
    <xf numFmtId="0" fontId="4" fillId="0" borderId="0" xfId="0" applyFont="1" applyProtection="1">
      <protection locked="0"/>
    </xf>
    <xf numFmtId="0" fontId="15" fillId="0" borderId="0" xfId="1" applyFont="1" applyAlignment="1" applyProtection="1">
      <alignment vertical="center"/>
      <protection locked="0"/>
    </xf>
    <xf numFmtId="0" fontId="1" fillId="0" borderId="0" xfId="1" applyProtection="1">
      <protection locked="0"/>
    </xf>
    <xf numFmtId="0" fontId="7" fillId="0" borderId="0" xfId="1" applyFont="1" applyAlignment="1" applyProtection="1">
      <alignment wrapText="1"/>
      <protection locked="0"/>
    </xf>
    <xf numFmtId="0" fontId="16" fillId="0" borderId="0" xfId="1" applyFont="1" applyFill="1" applyAlignment="1" applyProtection="1">
      <protection locked="0"/>
    </xf>
    <xf numFmtId="0" fontId="4" fillId="0" borderId="0" xfId="0" applyFont="1" applyProtection="1"/>
    <xf numFmtId="0" fontId="1" fillId="0" borderId="0" xfId="0" applyFont="1" applyProtection="1">
      <protection locked="0"/>
    </xf>
    <xf numFmtId="0" fontId="1" fillId="0" borderId="0" xfId="0" applyFont="1" applyAlignment="1">
      <alignment vertical="center"/>
    </xf>
    <xf numFmtId="164" fontId="1" fillId="4" borderId="0" xfId="0" applyNumberFormat="1" applyFont="1" applyFill="1" applyAlignment="1" applyProtection="1">
      <alignment horizontal="center" vertical="center"/>
    </xf>
    <xf numFmtId="0" fontId="1" fillId="4" borderId="0" xfId="0" applyFont="1" applyFill="1" applyAlignment="1" applyProtection="1">
      <alignment horizontal="center" vertical="center"/>
    </xf>
    <xf numFmtId="0" fontId="1" fillId="0" borderId="0" xfId="0" applyFont="1" applyAlignment="1">
      <alignment horizontal="center" vertical="center"/>
    </xf>
    <xf numFmtId="0" fontId="17" fillId="3" borderId="0" xfId="0" applyFont="1" applyFill="1" applyAlignment="1" applyProtection="1">
      <alignment horizontal="center"/>
    </xf>
    <xf numFmtId="2" fontId="17" fillId="3" borderId="0" xfId="0" applyNumberFormat="1" applyFont="1" applyFill="1" applyAlignment="1" applyProtection="1">
      <alignment horizontal="center"/>
    </xf>
    <xf numFmtId="11" fontId="18" fillId="6" borderId="0" xfId="0" applyNumberFormat="1" applyFont="1" applyFill="1" applyBorder="1" applyAlignment="1" applyProtection="1">
      <alignment horizontal="center"/>
    </xf>
    <xf numFmtId="11" fontId="18" fillId="6" borderId="1" xfId="0" applyNumberFormat="1" applyFont="1" applyFill="1" applyBorder="1" applyAlignment="1" applyProtection="1">
      <alignment horizontal="center"/>
    </xf>
    <xf numFmtId="11" fontId="18" fillId="6" borderId="9" xfId="0" applyNumberFormat="1" applyFont="1" applyFill="1" applyBorder="1" applyAlignment="1" applyProtection="1">
      <alignment horizontal="center"/>
    </xf>
    <xf numFmtId="0" fontId="0" fillId="0" borderId="0" xfId="0" applyProtection="1"/>
    <xf numFmtId="0" fontId="0" fillId="0" borderId="6" xfId="0" applyBorder="1" applyProtection="1"/>
    <xf numFmtId="0" fontId="0" fillId="0" borderId="7" xfId="0" applyBorder="1" applyProtection="1"/>
    <xf numFmtId="0" fontId="0" fillId="0" borderId="11" xfId="0" applyBorder="1" applyProtection="1"/>
    <xf numFmtId="0" fontId="2" fillId="0" borderId="0" xfId="0" applyFont="1" applyProtection="1"/>
    <xf numFmtId="0" fontId="4" fillId="0" borderId="3" xfId="0" applyFont="1" applyBorder="1" applyAlignment="1" applyProtection="1">
      <alignment horizontal="center"/>
    </xf>
    <xf numFmtId="0" fontId="4" fillId="0" borderId="4" xfId="0" applyFont="1" applyBorder="1" applyAlignment="1" applyProtection="1">
      <alignment horizontal="center"/>
    </xf>
    <xf numFmtId="0" fontId="4" fillId="0" borderId="10" xfId="0" applyFont="1" applyBorder="1" applyAlignment="1" applyProtection="1">
      <alignment horizontal="center"/>
    </xf>
    <xf numFmtId="0" fontId="19" fillId="6" borderId="0" xfId="0" applyFont="1" applyFill="1" applyAlignment="1" applyProtection="1">
      <alignment horizontal="right"/>
    </xf>
    <xf numFmtId="0" fontId="20" fillId="7" borderId="0" xfId="0" applyFont="1" applyFill="1" applyAlignment="1" applyProtection="1">
      <alignment horizontal="right"/>
    </xf>
    <xf numFmtId="0" fontId="5" fillId="7" borderId="0" xfId="0" applyFont="1" applyFill="1" applyAlignment="1" applyProtection="1">
      <alignment horizontal="right"/>
    </xf>
    <xf numFmtId="0" fontId="21" fillId="7" borderId="0" xfId="0" applyFont="1" applyFill="1" applyAlignment="1" applyProtection="1">
      <alignment horizontal="right"/>
    </xf>
    <xf numFmtId="0" fontId="5" fillId="7" borderId="0" xfId="0" applyNumberFormat="1" applyFont="1" applyFill="1" applyAlignment="1" applyProtection="1">
      <alignment horizontal="right"/>
    </xf>
    <xf numFmtId="0" fontId="2" fillId="0" borderId="6" xfId="0" applyFont="1" applyBorder="1" applyProtection="1"/>
    <xf numFmtId="0" fontId="2" fillId="0" borderId="7" xfId="0" applyFont="1" applyBorder="1" applyProtection="1"/>
    <xf numFmtId="0" fontId="2" fillId="0" borderId="11" xfId="0" applyFont="1" applyBorder="1" applyProtection="1"/>
    <xf numFmtId="0" fontId="2" fillId="0" borderId="8" xfId="0" applyFont="1" applyBorder="1" applyProtection="1"/>
    <xf numFmtId="0" fontId="4" fillId="0" borderId="5" xfId="0" applyFont="1" applyBorder="1" applyAlignment="1" applyProtection="1">
      <alignment horizontal="center"/>
    </xf>
    <xf numFmtId="11" fontId="4" fillId="0" borderId="0" xfId="0" applyNumberFormat="1" applyFont="1" applyProtection="1">
      <protection locked="0"/>
    </xf>
    <xf numFmtId="0" fontId="17" fillId="3" borderId="12" xfId="0" applyFont="1" applyFill="1" applyBorder="1" applyProtection="1"/>
    <xf numFmtId="0" fontId="1" fillId="0" borderId="13" xfId="0" applyFont="1" applyBorder="1" applyProtection="1"/>
    <xf numFmtId="0" fontId="4" fillId="0" borderId="14" xfId="0" applyFont="1" applyBorder="1" applyAlignment="1" applyProtection="1">
      <alignment wrapText="1"/>
    </xf>
    <xf numFmtId="0" fontId="15" fillId="0" borderId="0" xfId="1" applyFont="1" applyAlignment="1" applyProtection="1">
      <alignment horizontal="center" vertical="center"/>
    </xf>
    <xf numFmtId="0" fontId="6" fillId="0" borderId="0" xfId="1" applyFont="1" applyAlignment="1" applyProtection="1">
      <alignment vertical="top" wrapText="1"/>
    </xf>
    <xf numFmtId="0" fontId="7" fillId="0" borderId="0" xfId="1" applyFont="1" applyAlignment="1" applyProtection="1">
      <alignment wrapText="1"/>
    </xf>
    <xf numFmtId="0" fontId="8" fillId="0" borderId="0" xfId="1" applyFont="1" applyAlignment="1" applyProtection="1">
      <alignment wrapText="1"/>
    </xf>
    <xf numFmtId="0" fontId="9" fillId="0" borderId="0" xfId="1" applyFont="1" applyAlignment="1" applyProtection="1">
      <alignment horizontal="center"/>
    </xf>
    <xf numFmtId="0" fontId="16" fillId="8" borderId="12" xfId="1" applyFont="1" applyFill="1" applyBorder="1" applyAlignment="1" applyProtection="1">
      <alignment wrapText="1"/>
    </xf>
    <xf numFmtId="0" fontId="7" fillId="9" borderId="13" xfId="1" applyFont="1" applyFill="1" applyBorder="1" applyProtection="1"/>
    <xf numFmtId="0" fontId="7" fillId="0" borderId="13" xfId="1" applyFont="1" applyFill="1" applyBorder="1" applyProtection="1"/>
    <xf numFmtId="0" fontId="3" fillId="0" borderId="13" xfId="1" applyFont="1" applyBorder="1" applyProtection="1"/>
    <xf numFmtId="0" fontId="3" fillId="0" borderId="14" xfId="1" applyFont="1" applyBorder="1" applyProtection="1"/>
    <xf numFmtId="0" fontId="1" fillId="2" borderId="12" xfId="1" applyFont="1" applyFill="1" applyBorder="1" applyProtection="1"/>
    <xf numFmtId="0" fontId="1" fillId="5" borderId="13" xfId="1" applyFont="1" applyFill="1" applyBorder="1" applyProtection="1"/>
    <xf numFmtId="0" fontId="1" fillId="0" borderId="13" xfId="1" applyFont="1" applyBorder="1" applyProtection="1"/>
    <xf numFmtId="0" fontId="24" fillId="6" borderId="13" xfId="1" applyFont="1" applyFill="1" applyBorder="1" applyProtection="1"/>
    <xf numFmtId="0" fontId="1" fillId="7" borderId="14" xfId="1" applyFill="1" applyBorder="1" applyProtection="1"/>
    <xf numFmtId="0" fontId="1" fillId="0" borderId="0" xfId="1" applyProtection="1"/>
    <xf numFmtId="0" fontId="0" fillId="4" borderId="0" xfId="0" applyFill="1" applyAlignment="1">
      <alignment horizontal="center"/>
    </xf>
    <xf numFmtId="1" fontId="17" fillId="3" borderId="0" xfId="0" applyNumberFormat="1" applyFont="1" applyFill="1" applyAlignment="1" applyProtection="1">
      <alignment horizontal="center"/>
      <protection locked="0"/>
    </xf>
    <xf numFmtId="164" fontId="1" fillId="4" borderId="0" xfId="0" applyNumberFormat="1" applyFont="1" applyFill="1" applyAlignment="1">
      <alignment horizontal="center" vertical="center"/>
    </xf>
    <xf numFmtId="0" fontId="1" fillId="4" borderId="0" xfId="0" applyFont="1" applyFill="1" applyAlignment="1">
      <alignment horizontal="center" vertical="center"/>
    </xf>
    <xf numFmtId="0" fontId="17" fillId="3" borderId="0" xfId="0" applyFont="1" applyFill="1" applyAlignment="1">
      <alignment horizontal="center"/>
    </xf>
    <xf numFmtId="0" fontId="4" fillId="0" borderId="20" xfId="0" applyFont="1" applyBorder="1" applyAlignment="1" applyProtection="1">
      <alignment horizontal="center"/>
      <protection locked="0"/>
    </xf>
    <xf numFmtId="0" fontId="1" fillId="0" borderId="21" xfId="0" applyFont="1" applyBorder="1" applyProtection="1">
      <protection locked="0"/>
    </xf>
    <xf numFmtId="11" fontId="0" fillId="0" borderId="22" xfId="0" applyNumberFormat="1" applyBorder="1" applyAlignment="1" applyProtection="1">
      <alignment horizontal="center"/>
      <protection locked="0"/>
    </xf>
    <xf numFmtId="11" fontId="18" fillId="6" borderId="9" xfId="0" applyNumberFormat="1" applyFont="1" applyFill="1" applyBorder="1" applyAlignment="1" applyProtection="1">
      <alignment horizontal="center"/>
      <protection locked="0"/>
    </xf>
    <xf numFmtId="11" fontId="0" fillId="7" borderId="9" xfId="0" applyNumberFormat="1" applyFill="1" applyBorder="1" applyAlignment="1" applyProtection="1">
      <alignment horizontal="center"/>
      <protection locked="0"/>
    </xf>
    <xf numFmtId="11" fontId="5" fillId="7" borderId="1" xfId="0" applyNumberFormat="1" applyFont="1" applyFill="1" applyBorder="1" applyAlignment="1" applyProtection="1">
      <alignment horizontal="right"/>
    </xf>
    <xf numFmtId="11" fontId="5" fillId="7" borderId="0" xfId="0" applyNumberFormat="1" applyFont="1" applyFill="1" applyBorder="1" applyAlignment="1" applyProtection="1">
      <alignment horizontal="right"/>
    </xf>
    <xf numFmtId="11" fontId="5" fillId="7" borderId="9" xfId="0" applyNumberFormat="1" applyFont="1" applyFill="1" applyBorder="1" applyAlignment="1" applyProtection="1">
      <alignment horizontal="right"/>
    </xf>
    <xf numFmtId="11" fontId="19" fillId="6" borderId="1" xfId="0" applyNumberFormat="1" applyFont="1" applyFill="1" applyBorder="1" applyAlignment="1" applyProtection="1">
      <alignment horizontal="center"/>
    </xf>
    <xf numFmtId="11" fontId="19" fillId="6" borderId="0" xfId="0" applyNumberFormat="1" applyFont="1" applyFill="1" applyBorder="1" applyAlignment="1" applyProtection="1">
      <alignment horizontal="center"/>
    </xf>
    <xf numFmtId="11" fontId="19" fillId="6" borderId="9" xfId="0" applyNumberFormat="1" applyFont="1" applyFill="1" applyBorder="1" applyAlignment="1" applyProtection="1">
      <alignment horizontal="center"/>
    </xf>
    <xf numFmtId="11" fontId="22" fillId="6" borderId="1" xfId="0" applyNumberFormat="1" applyFont="1" applyFill="1" applyBorder="1" applyAlignment="1" applyProtection="1">
      <alignment horizontal="right"/>
    </xf>
    <xf numFmtId="11" fontId="22" fillId="6" borderId="0" xfId="0" applyNumberFormat="1" applyFont="1" applyFill="1" applyBorder="1" applyAlignment="1" applyProtection="1">
      <alignment horizontal="right"/>
    </xf>
    <xf numFmtId="11" fontId="22" fillId="6" borderId="9" xfId="0" applyNumberFormat="1" applyFont="1" applyFill="1" applyBorder="1" applyAlignment="1" applyProtection="1">
      <alignment horizontal="right"/>
    </xf>
    <xf numFmtId="0" fontId="4" fillId="0" borderId="22" xfId="0" applyFont="1" applyBorder="1" applyAlignment="1" applyProtection="1">
      <alignment horizontal="center"/>
      <protection locked="0"/>
    </xf>
    <xf numFmtId="0" fontId="1" fillId="0" borderId="0" xfId="0" applyFont="1"/>
    <xf numFmtId="11" fontId="1" fillId="0" borderId="0" xfId="0" applyNumberFormat="1" applyFont="1"/>
    <xf numFmtId="0" fontId="4" fillId="0" borderId="0" xfId="0" applyFont="1"/>
    <xf numFmtId="11" fontId="4" fillId="0" borderId="0" xfId="0" applyNumberFormat="1" applyFont="1"/>
    <xf numFmtId="11" fontId="1" fillId="3" borderId="0" xfId="0" applyNumberFormat="1" applyFont="1" applyFill="1"/>
    <xf numFmtId="0" fontId="1" fillId="0" borderId="0" xfId="0" applyFont="1" applyAlignment="1">
      <alignment horizontal="center"/>
    </xf>
    <xf numFmtId="11" fontId="0" fillId="0" borderId="0" xfId="0" applyNumberFormat="1" applyProtection="1">
      <protection locked="0"/>
    </xf>
    <xf numFmtId="0" fontId="1" fillId="5" borderId="0" xfId="0" applyFont="1" applyFill="1"/>
    <xf numFmtId="0" fontId="1" fillId="2" borderId="0" xfId="0" applyFont="1" applyFill="1"/>
    <xf numFmtId="0" fontId="1" fillId="12" borderId="0" xfId="0" applyFont="1" applyFill="1" applyProtection="1">
      <protection locked="0"/>
    </xf>
    <xf numFmtId="0" fontId="1" fillId="10" borderId="0" xfId="0" applyFont="1" applyFill="1" applyProtection="1">
      <protection locked="0"/>
    </xf>
    <xf numFmtId="0" fontId="4" fillId="0" borderId="0" xfId="0" applyFont="1" applyAlignment="1">
      <alignment horizontal="left" vertical="top"/>
    </xf>
    <xf numFmtId="0" fontId="0" fillId="0" borderId="0" xfId="0" applyAlignment="1">
      <alignment horizontal="left" vertical="top"/>
    </xf>
    <xf numFmtId="0" fontId="0" fillId="0" borderId="0" xfId="0"/>
    <xf numFmtId="11" fontId="18" fillId="6" borderId="22" xfId="0" applyNumberFormat="1" applyFont="1" applyFill="1" applyBorder="1" applyAlignment="1" applyProtection="1">
      <alignment horizontal="center"/>
      <protection locked="0"/>
    </xf>
    <xf numFmtId="11" fontId="0" fillId="7" borderId="22" xfId="0" applyNumberFormat="1" applyFill="1" applyBorder="1" applyAlignment="1" applyProtection="1">
      <alignment horizontal="center"/>
      <protection locked="0"/>
    </xf>
    <xf numFmtId="0" fontId="5" fillId="0" borderId="6" xfId="0" applyFont="1" applyBorder="1" applyProtection="1">
      <protection locked="0"/>
    </xf>
    <xf numFmtId="0" fontId="5" fillId="0" borderId="7" xfId="0" applyFont="1" applyBorder="1" applyProtection="1">
      <protection locked="0"/>
    </xf>
    <xf numFmtId="0" fontId="27" fillId="0" borderId="3" xfId="0" applyFont="1" applyBorder="1" applyAlignment="1" applyProtection="1">
      <alignment horizontal="center"/>
      <protection locked="0"/>
    </xf>
    <xf numFmtId="0" fontId="27" fillId="0" borderId="10" xfId="0" applyFont="1" applyBorder="1" applyAlignment="1" applyProtection="1">
      <alignment horizontal="center"/>
      <protection locked="0"/>
    </xf>
    <xf numFmtId="11" fontId="0" fillId="0" borderId="1" xfId="0" applyNumberFormat="1" applyBorder="1" applyAlignment="1">
      <alignment horizontal="center"/>
    </xf>
    <xf numFmtId="11" fontId="0" fillId="0" borderId="0" xfId="0" applyNumberFormat="1" applyAlignment="1">
      <alignment horizontal="center"/>
    </xf>
    <xf numFmtId="0" fontId="1" fillId="0" borderId="6" xfId="0" applyFont="1" applyBorder="1"/>
    <xf numFmtId="0" fontId="1" fillId="0" borderId="7" xfId="0" applyFont="1" applyBorder="1"/>
    <xf numFmtId="0" fontId="1" fillId="0" borderId="8" xfId="0" applyFont="1" applyBorder="1"/>
    <xf numFmtId="0" fontId="4" fillId="0" borderId="3" xfId="0" applyFont="1" applyBorder="1" applyAlignment="1" applyProtection="1">
      <alignment horizontal="center"/>
      <protection locked="0"/>
    </xf>
    <xf numFmtId="0" fontId="4" fillId="0" borderId="4" xfId="0" applyFont="1" applyBorder="1" applyAlignment="1" applyProtection="1">
      <alignment horizontal="center"/>
      <protection locked="0"/>
    </xf>
    <xf numFmtId="0" fontId="4" fillId="0" borderId="10" xfId="0" applyFont="1" applyBorder="1" applyAlignment="1" applyProtection="1">
      <alignment horizontal="center"/>
      <protection locked="0"/>
    </xf>
    <xf numFmtId="11" fontId="0" fillId="0" borderId="9" xfId="0" applyNumberFormat="1" applyBorder="1" applyAlignment="1">
      <alignment horizontal="center"/>
    </xf>
    <xf numFmtId="0" fontId="26" fillId="13" borderId="0" xfId="0" applyFont="1" applyFill="1" applyAlignment="1">
      <alignment horizontal="left"/>
    </xf>
    <xf numFmtId="11" fontId="28" fillId="13" borderId="6" xfId="0" applyNumberFormat="1" applyFont="1" applyFill="1" applyBorder="1" applyAlignment="1">
      <alignment horizontal="left"/>
    </xf>
    <xf numFmtId="11" fontId="28" fillId="13" borderId="7" xfId="0" applyNumberFormat="1" applyFont="1" applyFill="1" applyBorder="1" applyAlignment="1">
      <alignment horizontal="left"/>
    </xf>
    <xf numFmtId="11" fontId="28" fillId="13" borderId="11" xfId="0" applyNumberFormat="1" applyFont="1" applyFill="1" applyBorder="1" applyAlignment="1">
      <alignment horizontal="left"/>
    </xf>
    <xf numFmtId="0" fontId="29" fillId="14" borderId="0" xfId="0" applyFont="1" applyFill="1" applyAlignment="1">
      <alignment horizontal="left"/>
    </xf>
    <xf numFmtId="0" fontId="0" fillId="14" borderId="0" xfId="0" applyFill="1" applyAlignment="1">
      <alignment horizontal="left"/>
    </xf>
    <xf numFmtId="11" fontId="0" fillId="15" borderId="1" xfId="0" applyNumberFormat="1" applyFill="1" applyBorder="1" applyAlignment="1">
      <alignment horizontal="left"/>
    </xf>
    <xf numFmtId="11" fontId="0" fillId="15" borderId="0" xfId="0" applyNumberFormat="1" applyFill="1" applyAlignment="1">
      <alignment horizontal="left"/>
    </xf>
    <xf numFmtId="11" fontId="0" fillId="15" borderId="9" xfId="0" applyNumberFormat="1" applyFill="1" applyBorder="1" applyAlignment="1">
      <alignment horizontal="left"/>
    </xf>
    <xf numFmtId="0" fontId="30" fillId="14" borderId="0" xfId="0" applyFont="1" applyFill="1" applyAlignment="1">
      <alignment horizontal="left"/>
    </xf>
    <xf numFmtId="11" fontId="28" fillId="13" borderId="1" xfId="0" applyNumberFormat="1" applyFont="1" applyFill="1" applyBorder="1" applyAlignment="1">
      <alignment horizontal="left"/>
    </xf>
    <xf numFmtId="11" fontId="28" fillId="13" borderId="0" xfId="0" applyNumberFormat="1" applyFont="1" applyFill="1" applyAlignment="1">
      <alignment horizontal="left"/>
    </xf>
    <xf numFmtId="11" fontId="28" fillId="13" borderId="9" xfId="0" applyNumberFormat="1" applyFont="1" applyFill="1" applyBorder="1" applyAlignment="1">
      <alignment horizontal="left"/>
    </xf>
    <xf numFmtId="11" fontId="0" fillId="15" borderId="3" xfId="0" applyNumberFormat="1" applyFill="1" applyBorder="1" applyAlignment="1">
      <alignment horizontal="left"/>
    </xf>
    <xf numFmtId="11" fontId="0" fillId="15" borderId="4" xfId="0" applyNumberFormat="1" applyFill="1" applyBorder="1" applyAlignment="1">
      <alignment horizontal="left"/>
    </xf>
    <xf numFmtId="11" fontId="0" fillId="15" borderId="10" xfId="0" applyNumberFormat="1" applyFill="1" applyBorder="1" applyAlignment="1">
      <alignment horizontal="left"/>
    </xf>
    <xf numFmtId="0" fontId="27" fillId="0" borderId="4" xfId="0" applyFont="1" applyBorder="1" applyAlignment="1" applyProtection="1">
      <alignment horizontal="center"/>
      <protection locked="0"/>
    </xf>
    <xf numFmtId="11" fontId="28" fillId="13" borderId="0" xfId="0" applyNumberFormat="1" applyFont="1" applyFill="1" applyBorder="1" applyAlignment="1">
      <alignment horizontal="left"/>
    </xf>
    <xf numFmtId="11" fontId="0" fillId="15" borderId="0" xfId="0" applyNumberFormat="1" applyFill="1" applyBorder="1" applyAlignment="1">
      <alignment horizontal="left"/>
    </xf>
    <xf numFmtId="11" fontId="5" fillId="0" borderId="1" xfId="1" applyNumberFormat="1" applyFont="1" applyFill="1" applyBorder="1" applyAlignment="1" applyProtection="1">
      <alignment horizontal="center"/>
      <protection locked="0"/>
    </xf>
    <xf numFmtId="11" fontId="5" fillId="0" borderId="9" xfId="1" applyNumberFormat="1" applyFont="1" applyFill="1" applyBorder="1" applyAlignment="1" applyProtection="1">
      <alignment horizontal="center"/>
      <protection locked="0"/>
    </xf>
    <xf numFmtId="0" fontId="5" fillId="0" borderId="9" xfId="1" applyFont="1" applyFill="1" applyBorder="1" applyProtection="1">
      <protection locked="0"/>
    </xf>
    <xf numFmtId="11" fontId="0" fillId="0" borderId="0" xfId="0" applyNumberFormat="1" applyBorder="1" applyAlignment="1">
      <alignment horizontal="center"/>
    </xf>
    <xf numFmtId="11" fontId="1" fillId="0" borderId="0" xfId="0" applyNumberFormat="1" applyFont="1" applyAlignment="1" applyProtection="1">
      <alignment horizontal="center"/>
      <protection locked="0"/>
    </xf>
    <xf numFmtId="0" fontId="1" fillId="15" borderId="13" xfId="2" applyFill="1" applyBorder="1"/>
    <xf numFmtId="0" fontId="24" fillId="13" borderId="13" xfId="2" applyFont="1" applyFill="1" applyBorder="1"/>
    <xf numFmtId="0" fontId="3" fillId="0" borderId="13" xfId="0" applyFont="1" applyBorder="1"/>
    <xf numFmtId="0" fontId="23" fillId="0" borderId="0" xfId="0" applyFont="1" applyAlignment="1">
      <alignment horizontal="center"/>
    </xf>
    <xf numFmtId="0" fontId="25" fillId="0" borderId="15" xfId="0" applyFont="1" applyBorder="1" applyAlignment="1">
      <alignment horizontal="center"/>
    </xf>
    <xf numFmtId="0" fontId="25" fillId="0" borderId="16" xfId="0" applyFont="1" applyBorder="1" applyAlignment="1">
      <alignment horizontal="center"/>
    </xf>
    <xf numFmtId="0" fontId="25" fillId="0" borderId="17" xfId="0" applyFont="1" applyBorder="1" applyAlignment="1">
      <alignment horizontal="center"/>
    </xf>
    <xf numFmtId="0" fontId="25" fillId="10" borderId="15" xfId="0" applyFont="1" applyFill="1" applyBorder="1" applyAlignment="1">
      <alignment horizontal="center"/>
    </xf>
    <xf numFmtId="0" fontId="25" fillId="10" borderId="16" xfId="0" applyFont="1" applyFill="1" applyBorder="1" applyAlignment="1">
      <alignment horizontal="center"/>
    </xf>
    <xf numFmtId="0" fontId="25" fillId="10" borderId="17" xfId="0" applyFont="1" applyFill="1" applyBorder="1" applyAlignment="1">
      <alignment horizontal="center"/>
    </xf>
    <xf numFmtId="0" fontId="25" fillId="11" borderId="15" xfId="0" applyFont="1" applyFill="1" applyBorder="1" applyAlignment="1">
      <alignment horizontal="center"/>
    </xf>
    <xf numFmtId="0" fontId="25" fillId="11" borderId="16" xfId="0" applyFont="1" applyFill="1" applyBorder="1" applyAlignment="1">
      <alignment horizontal="center"/>
    </xf>
    <xf numFmtId="0" fontId="25" fillId="11" borderId="17" xfId="0" applyFont="1" applyFill="1" applyBorder="1" applyAlignment="1">
      <alignment horizontal="center"/>
    </xf>
    <xf numFmtId="0" fontId="4" fillId="0" borderId="18" xfId="0" applyFont="1" applyBorder="1" applyAlignment="1" applyProtection="1">
      <alignment horizontal="center"/>
    </xf>
    <xf numFmtId="0" fontId="4" fillId="0" borderId="19" xfId="0" applyFont="1" applyBorder="1" applyAlignment="1" applyProtection="1">
      <alignment horizontal="center"/>
    </xf>
    <xf numFmtId="0" fontId="4" fillId="0" borderId="6" xfId="0" applyFont="1" applyBorder="1" applyAlignment="1" applyProtection="1">
      <alignment horizontal="center"/>
    </xf>
    <xf numFmtId="0" fontId="4" fillId="0" borderId="7" xfId="0" applyFont="1" applyBorder="1" applyAlignment="1" applyProtection="1">
      <alignment horizontal="center"/>
    </xf>
    <xf numFmtId="0" fontId="4" fillId="0" borderId="8" xfId="0" applyFont="1" applyBorder="1" applyAlignment="1" applyProtection="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27" fillId="0" borderId="15" xfId="0" applyFont="1" applyBorder="1" applyAlignment="1" applyProtection="1">
      <alignment horizontal="center"/>
      <protection locked="0"/>
    </xf>
    <xf numFmtId="0" fontId="27" fillId="0" borderId="16" xfId="0" applyFont="1" applyBorder="1" applyAlignment="1" applyProtection="1">
      <alignment horizontal="center"/>
      <protection locked="0"/>
    </xf>
    <xf numFmtId="0" fontId="4" fillId="0" borderId="15" xfId="0" applyFont="1" applyBorder="1" applyAlignment="1" applyProtection="1">
      <alignment horizontal="center"/>
    </xf>
    <xf numFmtId="0" fontId="4" fillId="0" borderId="16" xfId="0" applyFont="1" applyBorder="1" applyAlignment="1" applyProtection="1">
      <alignment horizontal="center"/>
    </xf>
    <xf numFmtId="0" fontId="4" fillId="0" borderId="17" xfId="0" applyFont="1" applyBorder="1" applyAlignment="1" applyProtection="1">
      <alignment horizontal="center"/>
    </xf>
  </cellXfs>
  <cellStyles count="3">
    <cellStyle name="Normal" xfId="0" builtinId="0"/>
    <cellStyle name="Normal 2" xfId="1" xr:uid="{00000000-0005-0000-0000-000001000000}"/>
    <cellStyle name="Normal 2 2" xfId="2" xr:uid="{7D5AFECD-C089-4622-847C-FDA492470922}"/>
  </cellStyles>
  <dxfs count="0"/>
  <tableStyles count="0" defaultTableStyle="TableStyleMedium2" defaultPivotStyle="PivotStyleLight16"/>
  <colors>
    <mruColors>
      <color rgb="FFD9B3FF"/>
      <color rgb="FFAD5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29"/>
  <sheetViews>
    <sheetView tabSelected="1" workbookViewId="0">
      <pane xSplit="1" ySplit="2" topLeftCell="B3" activePane="bottomRight" state="frozen"/>
      <selection pane="topRight" activeCell="B1" sqref="B1"/>
      <selection pane="bottomLeft" activeCell="A3" sqref="A3"/>
      <selection pane="bottomRight" activeCell="B3" sqref="B3"/>
    </sheetView>
  </sheetViews>
  <sheetFormatPr defaultRowHeight="12.75"/>
  <cols>
    <col min="1" max="1" width="9.140625" style="8"/>
    <col min="2" max="2" width="118.85546875" style="59" bestFit="1" customWidth="1"/>
    <col min="3" max="16384" width="9.140625" style="8"/>
  </cols>
  <sheetData>
    <row r="1" spans="2:14" ht="27.75">
      <c r="B1" s="44" t="s">
        <v>208</v>
      </c>
      <c r="C1" s="7"/>
      <c r="D1" s="7"/>
      <c r="E1" s="7"/>
      <c r="F1" s="7"/>
      <c r="G1" s="7"/>
      <c r="H1" s="7"/>
      <c r="I1" s="7"/>
      <c r="J1" s="7"/>
      <c r="K1" s="7"/>
      <c r="L1" s="7"/>
      <c r="M1" s="7"/>
      <c r="N1" s="7"/>
    </row>
    <row r="2" spans="2:14" ht="54">
      <c r="B2" s="45" t="s">
        <v>209</v>
      </c>
      <c r="C2" s="9"/>
      <c r="D2" s="9"/>
      <c r="E2" s="9"/>
      <c r="F2" s="9"/>
      <c r="G2" s="9"/>
      <c r="H2" s="9"/>
      <c r="I2" s="9"/>
      <c r="J2" s="9"/>
      <c r="K2" s="9"/>
      <c r="L2" s="9"/>
      <c r="M2" s="9"/>
      <c r="N2" s="9"/>
    </row>
    <row r="3" spans="2:14" ht="15">
      <c r="B3" s="46"/>
      <c r="C3" s="9"/>
      <c r="D3" s="9"/>
      <c r="E3" s="9"/>
      <c r="F3" s="9"/>
      <c r="G3" s="9"/>
      <c r="H3" s="9"/>
      <c r="I3" s="9"/>
      <c r="J3" s="9"/>
      <c r="K3" s="9"/>
      <c r="L3" s="9"/>
      <c r="M3" s="9"/>
      <c r="N3" s="9"/>
    </row>
    <row r="4" spans="2:14" ht="45.75">
      <c r="B4" s="47" t="s">
        <v>210</v>
      </c>
      <c r="C4" s="9"/>
      <c r="D4" s="9"/>
      <c r="E4" s="9"/>
      <c r="F4" s="9"/>
      <c r="G4" s="9"/>
      <c r="H4" s="9"/>
      <c r="I4" s="9"/>
      <c r="J4" s="9"/>
      <c r="K4" s="9"/>
      <c r="L4" s="9"/>
      <c r="M4" s="9"/>
      <c r="N4" s="9"/>
    </row>
    <row r="6" spans="2:14" ht="16.5" thickBot="1">
      <c r="B6" s="48" t="s">
        <v>211</v>
      </c>
    </row>
    <row r="7" spans="2:14" ht="45">
      <c r="B7" s="49" t="s">
        <v>245</v>
      </c>
      <c r="C7" s="10"/>
      <c r="D7" s="10"/>
      <c r="E7" s="10"/>
      <c r="F7" s="10"/>
      <c r="G7" s="10"/>
      <c r="H7" s="10"/>
      <c r="I7" s="10"/>
      <c r="J7" s="10"/>
      <c r="K7" s="10"/>
      <c r="L7" s="10"/>
      <c r="M7" s="10"/>
      <c r="N7" s="10"/>
    </row>
    <row r="8" spans="2:14" ht="15">
      <c r="B8" s="50" t="s">
        <v>212</v>
      </c>
    </row>
    <row r="9" spans="2:14" ht="15">
      <c r="B9" s="51"/>
    </row>
    <row r="10" spans="2:14" ht="14.25">
      <c r="B10" s="52" t="s">
        <v>213</v>
      </c>
    </row>
    <row r="11" spans="2:14" ht="14.25">
      <c r="B11" s="135" t="s">
        <v>273</v>
      </c>
    </row>
    <row r="12" spans="2:14" ht="14.25">
      <c r="B12" s="52"/>
    </row>
    <row r="13" spans="2:14" ht="14.25">
      <c r="B13" s="52" t="s">
        <v>214</v>
      </c>
    </row>
    <row r="14" spans="2:14" ht="15" thickBot="1">
      <c r="B14" s="53" t="s">
        <v>221</v>
      </c>
    </row>
    <row r="17" spans="2:2" ht="16.5" thickBot="1">
      <c r="B17" s="48" t="s">
        <v>215</v>
      </c>
    </row>
    <row r="18" spans="2:2">
      <c r="B18" s="54" t="s">
        <v>216</v>
      </c>
    </row>
    <row r="19" spans="2:2">
      <c r="B19" s="55" t="s">
        <v>217</v>
      </c>
    </row>
    <row r="20" spans="2:2">
      <c r="B20" s="56" t="s">
        <v>218</v>
      </c>
    </row>
    <row r="21" spans="2:2">
      <c r="B21" s="133" t="s">
        <v>271</v>
      </c>
    </row>
    <row r="22" spans="2:2">
      <c r="B22" s="134" t="s">
        <v>272</v>
      </c>
    </row>
    <row r="23" spans="2:2">
      <c r="B23" s="57" t="s">
        <v>238</v>
      </c>
    </row>
    <row r="24" spans="2:2" ht="13.5" thickBot="1">
      <c r="B24" s="58" t="s">
        <v>243</v>
      </c>
    </row>
    <row r="26" spans="2:2" ht="16.5" thickBot="1">
      <c r="B26" s="48" t="s">
        <v>219</v>
      </c>
    </row>
    <row r="27" spans="2:2">
      <c r="B27" s="41" t="s">
        <v>220</v>
      </c>
    </row>
    <row r="28" spans="2:2">
      <c r="B28" s="42" t="s">
        <v>258</v>
      </c>
    </row>
    <row r="29" spans="2:2" ht="26.25" thickBot="1">
      <c r="B29" s="43" t="s">
        <v>244</v>
      </c>
    </row>
  </sheetData>
  <sheetProtection algorithmName="SHA-512" hashValue="dCgBGjVCOZS86Y/w33hpQXgU7H65XOnpCv3xDPmYaDA3YY8jZ9tA0/PErnmFdJO7V4TcrUyhmhmqWpm4o2YM4g==" saltValue="3caZCNmYpyIIjbuEiyyoqg==" spinCount="100000" sheet="1" formatCells="0" formatColumns="0" formatRows="0" insertColumns="0" insertRows="0"/>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42578125" style="22" bestFit="1" customWidth="1"/>
    <col min="4" max="4" width="15.7109375" style="22" bestFit="1" customWidth="1"/>
    <col min="5" max="6" width="16.42578125" style="22" bestFit="1" customWidth="1"/>
    <col min="7" max="7" width="17.42578125" style="22" bestFit="1" customWidth="1"/>
    <col min="8" max="8" width="15.42578125" style="22" bestFit="1" customWidth="1"/>
    <col min="9" max="9" width="15.7109375" style="22" bestFit="1" customWidth="1"/>
    <col min="10" max="11" width="16.42578125" style="22" bestFit="1" customWidth="1"/>
    <col min="12" max="12" width="17.42578125" style="22" bestFit="1" customWidth="1"/>
    <col min="13" max="13" width="15.42578125" style="22" bestFit="1" customWidth="1"/>
    <col min="14" max="14" width="15.7109375" style="22" bestFit="1" customWidth="1"/>
    <col min="15" max="16" width="16.42578125" style="22" bestFit="1" customWidth="1"/>
    <col min="17" max="17" width="17.42578125" style="22" bestFit="1" customWidth="1"/>
    <col min="18" max="18" width="11.28515625" bestFit="1" customWidth="1"/>
  </cols>
  <sheetData>
    <row r="1" spans="1:18" ht="13.5" thickBot="1">
      <c r="C1" s="148" t="s">
        <v>61</v>
      </c>
      <c r="D1" s="149"/>
      <c r="E1" s="149"/>
      <c r="F1" s="149"/>
      <c r="G1" s="150"/>
      <c r="H1" s="148" t="s">
        <v>138</v>
      </c>
      <c r="I1" s="149"/>
      <c r="J1" s="149"/>
      <c r="K1" s="149"/>
      <c r="L1" s="150"/>
      <c r="M1" s="148" t="s">
        <v>139</v>
      </c>
      <c r="N1" s="149"/>
      <c r="O1" s="149"/>
      <c r="P1" s="149"/>
      <c r="Q1" s="150"/>
      <c r="R1" s="65" t="s">
        <v>252</v>
      </c>
    </row>
    <row r="2" spans="1:18">
      <c r="A2" s="11" t="s">
        <v>0</v>
      </c>
      <c r="B2" s="11" t="s">
        <v>43</v>
      </c>
      <c r="C2" s="23" t="s">
        <v>154</v>
      </c>
      <c r="D2" s="24" t="s">
        <v>155</v>
      </c>
      <c r="E2" s="24" t="s">
        <v>156</v>
      </c>
      <c r="F2" s="24" t="s">
        <v>157</v>
      </c>
      <c r="G2" s="25" t="s">
        <v>158</v>
      </c>
      <c r="H2" s="23" t="s">
        <v>154</v>
      </c>
      <c r="I2" s="24" t="s">
        <v>155</v>
      </c>
      <c r="J2" s="24" t="s">
        <v>156</v>
      </c>
      <c r="K2" s="24" t="s">
        <v>157</v>
      </c>
      <c r="L2" s="25" t="s">
        <v>158</v>
      </c>
      <c r="M2" s="23" t="s">
        <v>154</v>
      </c>
      <c r="N2" s="24" t="s">
        <v>155</v>
      </c>
      <c r="O2" s="24" t="s">
        <v>156</v>
      </c>
      <c r="P2" s="24" t="s">
        <v>157</v>
      </c>
      <c r="Q2" s="25" t="s">
        <v>158</v>
      </c>
      <c r="R2" s="66" t="s">
        <v>161</v>
      </c>
    </row>
    <row r="3" spans="1:18" ht="13.5" thickBot="1">
      <c r="B3" s="26" t="s">
        <v>44</v>
      </c>
      <c r="C3" s="27" t="s">
        <v>151</v>
      </c>
      <c r="D3" s="28" t="s">
        <v>140</v>
      </c>
      <c r="E3" s="28" t="s">
        <v>151</v>
      </c>
      <c r="F3" s="28" t="s">
        <v>151</v>
      </c>
      <c r="G3" s="29" t="s">
        <v>151</v>
      </c>
      <c r="H3" s="27" t="s">
        <v>152</v>
      </c>
      <c r="I3" s="28" t="s">
        <v>153</v>
      </c>
      <c r="J3" s="28" t="s">
        <v>152</v>
      </c>
      <c r="K3" s="28" t="s">
        <v>152</v>
      </c>
      <c r="L3" s="29" t="s">
        <v>152</v>
      </c>
      <c r="M3" s="27" t="s">
        <v>239</v>
      </c>
      <c r="N3" s="28" t="s">
        <v>142</v>
      </c>
      <c r="O3" s="28" t="s">
        <v>239</v>
      </c>
      <c r="P3" s="28" t="s">
        <v>239</v>
      </c>
      <c r="Q3" s="29" t="s">
        <v>239</v>
      </c>
      <c r="R3" s="79" t="s">
        <v>253</v>
      </c>
    </row>
    <row r="4" spans="1:18">
      <c r="A4" s="87" t="s">
        <v>23</v>
      </c>
      <c r="B4" s="12" t="s">
        <v>59</v>
      </c>
      <c r="C4" s="2">
        <f>IFERROR((DL)/(Doses!I2*GSFb*Fin*Fi*Fam*Foff*Isospec!H3*ETiw*(1/24)*EFiw*(1/365)),".")</f>
        <v>45.239320301589338</v>
      </c>
      <c r="D4" s="3">
        <f>IFERROR((DL)/(Doses!L2*GSFb*Fin*Fi*Fam*Foff*Isospec!G3*ETiw*(1/24)*EFiw*(1/365)),".")</f>
        <v>281.79801640785013</v>
      </c>
      <c r="E4" s="3">
        <f>IFERROR((DL)/(Doses!M2*GSFb*Fin*Fi*Fam*Foff*Isospec!I3*ETiw*(1/24)*EFiw*(1/365)),".")</f>
        <v>45.067935874994518</v>
      </c>
      <c r="F4" s="3">
        <f>IFERROR((DL)/(Doses!N2*GSFb*Fin*Fi*Fam*Foff*Isospec!J3*ETiw*(1/24)*EFiw*(1/365)),".")</f>
        <v>16.555733283910008</v>
      </c>
      <c r="G4" s="5">
        <f>IFERROR((DL)/(Doses!O2*GSFb*Fin*Fi*Fam*Foff*Isospec!K3*ETiw*(1/24)*EFiw*(1/365)),".")</f>
        <v>122.78999002652273</v>
      </c>
      <c r="H4" s="2">
        <f t="shared" ref="H4:L4" si="0">IFERROR(C4/_1_bq,".")</f>
        <v>1.6738548511588072</v>
      </c>
      <c r="I4" s="3">
        <f t="shared" si="0"/>
        <v>10.426526607090466</v>
      </c>
      <c r="J4" s="3">
        <f t="shared" si="0"/>
        <v>1.6675136273747988</v>
      </c>
      <c r="K4" s="3">
        <f t="shared" si="0"/>
        <v>0.61256213150467098</v>
      </c>
      <c r="L4" s="5">
        <f t="shared" si="0"/>
        <v>4.5432296309813456</v>
      </c>
      <c r="M4" s="2">
        <f>IFERROR(C4*Isospec!C3*Isospec!F3*SSLgram,".")</f>
        <v>7.8084306273977247E-10</v>
      </c>
      <c r="N4" s="3">
        <f>IFERROR(D4*Isospec!C3*Isospec!F3*SSLcm_m,".")</f>
        <v>4.8639109681355655E-12</v>
      </c>
      <c r="O4" s="3">
        <f>IFERROR(E4*Isospec!C3*Isospec!F3*SSLgram,".")</f>
        <v>7.778849205821084E-10</v>
      </c>
      <c r="P4" s="3">
        <f>IFERROR(F4*Isospec!C3*Isospec!F3*SSLgram,".")</f>
        <v>2.8575649229762891E-10</v>
      </c>
      <c r="Q4" s="5">
        <f>IFERROR(G4*Isospec!C3*Isospec!F3*SSLgram,".")</f>
        <v>2.119388868950971E-9</v>
      </c>
      <c r="R4" s="67">
        <f>IF(D4&lt;&gt;".",D4*2.22*100,".")</f>
        <v>62559.159642542741</v>
      </c>
    </row>
    <row r="5" spans="1:18">
      <c r="A5" s="88" t="s">
        <v>14</v>
      </c>
      <c r="B5" s="12" t="s">
        <v>44</v>
      </c>
      <c r="C5" s="2">
        <f>IFERROR((DL)/(Doses!I3*GSFb*Fin*Fi*Fam*Foff*Isospec!H4*ETiw*(1/24)*EFiw*(1/365)),".")</f>
        <v>97.671966272002791</v>
      </c>
      <c r="D5" s="3">
        <f>IFERROR((DL)/(Doses!L3*GSFb*Fin*Fi*Fam*Foff*Isospec!G4*ETiw*(1/24)*EFiw*(1/365)),".")</f>
        <v>69.939991757904949</v>
      </c>
      <c r="E5" s="3">
        <f>IFERROR((DL)/(Doses!M3*GSFb*Fin*Fi*Fam*Foff*Isospec!I4*ETiw*(1/24)*EFiw*(1/365)),".")</f>
        <v>63.51979101901356</v>
      </c>
      <c r="F5" s="3">
        <f>IFERROR((DL)/(Doses!N3*GSFb*Fin*Fi*Fam*Foff*Isospec!J4*ETiw*(1/24)*EFiw*(1/365)),".")</f>
        <v>17.599859192917059</v>
      </c>
      <c r="G5" s="5">
        <f>IFERROR((DL)/(Doses!O3*GSFb*Fin*Fi*Fam*Foff*Isospec!K4*ETiw*(1/24)*EFiw*(1/365)),".")</f>
        <v>95.149451620974844</v>
      </c>
      <c r="H5" s="2">
        <f t="shared" ref="H5:L7" si="1">IFERROR(C5/_1_bq,".")</f>
        <v>3.6138627520641071</v>
      </c>
      <c r="I5" s="3">
        <f t="shared" si="1"/>
        <v>2.5877796950424856</v>
      </c>
      <c r="J5" s="3">
        <f t="shared" si="1"/>
        <v>2.3502322677035039</v>
      </c>
      <c r="K5" s="3">
        <f t="shared" si="1"/>
        <v>0.6511947901379318</v>
      </c>
      <c r="L5" s="5">
        <f t="shared" si="1"/>
        <v>3.5205297099760728</v>
      </c>
      <c r="M5" s="2">
        <f>IFERROR(C5*Isospec!C4*Isospec!F4*SSLgram,".")</f>
        <v>2.8485888315598183E-5</v>
      </c>
      <c r="N5" s="3">
        <f>IFERROR(D5*Isospec!C4*Isospec!F4*SSLcm_m,".")</f>
        <v>2.0397897882604849E-8</v>
      </c>
      <c r="O5" s="3">
        <f>IFERROR(E5*Isospec!C4*Isospec!F4*SSLgram,".")</f>
        <v>1.8525455582196235E-5</v>
      </c>
      <c r="P5" s="3">
        <f>IFERROR(F5*Isospec!C4*Isospec!F4*SSLgram,".")</f>
        <v>5.1329735898170222E-6</v>
      </c>
      <c r="Q5" s="5">
        <f>IFERROR(G5*Isospec!C4*Isospec!F4*SSLgram,".")</f>
        <v>2.7750200550046978E-5</v>
      </c>
      <c r="R5" s="67">
        <f t="shared" ref="R5" si="2">IF(D5&lt;&gt;".",D5*2.22*100,".")</f>
        <v>15526.6781702549</v>
      </c>
    </row>
    <row r="6" spans="1:18">
      <c r="A6" s="87" t="s">
        <v>15</v>
      </c>
      <c r="B6" s="12" t="s">
        <v>59</v>
      </c>
      <c r="C6" s="2">
        <f>IFERROR((DL)/(Doses!I4*GSFb*Fin*Fi*Fam*Foff*Isospec!H5*ETiw*(1/24)*EFiw*(1/365)),".")</f>
        <v>1445744.5462867166</v>
      </c>
      <c r="D6" s="3">
        <f>IFERROR((DL)/(Doses!L4*GSFb*Fin*Fi*Fam*Foff*Isospec!G5*ETiw*(1/24)*EFiw*(1/365)),".")</f>
        <v>6416516.2583153276</v>
      </c>
      <c r="E6" s="3">
        <f>IFERROR((DL)/(Doses!M4*GSFb*Fin*Fi*Fam*Foff*Isospec!I5*ETiw*(1/24)*EFiw*(1/365)),".")</f>
        <v>2050101.5650092601</v>
      </c>
      <c r="F6" s="3">
        <f>IFERROR((DL)/(Doses!N4*GSFb*Fin*Fi*Fam*Foff*Isospec!J5*ETiw*(1/24)*EFiw*(1/365)),".")</f>
        <v>672491.72160426376</v>
      </c>
      <c r="G6" s="5">
        <f>IFERROR((DL)/(Doses!O4*GSFb*Fin*Fi*Fam*Foff*Isospec!K5*ETiw*(1/24)*EFiw*(1/365)),".")</f>
        <v>997139.5858168453</v>
      </c>
      <c r="H6" s="2">
        <f t="shared" si="1"/>
        <v>53492.54821260857</v>
      </c>
      <c r="I6" s="3">
        <f t="shared" si="1"/>
        <v>237411.10155766737</v>
      </c>
      <c r="J6" s="3">
        <f t="shared" si="1"/>
        <v>75853.757905342703</v>
      </c>
      <c r="K6" s="3">
        <f t="shared" si="1"/>
        <v>24882.193699357784</v>
      </c>
      <c r="L6" s="5">
        <f t="shared" si="1"/>
        <v>36894.164675223314</v>
      </c>
      <c r="M6" s="2">
        <f>IFERROR(C6*Isospec!C5*Isospec!F5*SSLgram,".")</f>
        <v>8.9971558467336169E-13</v>
      </c>
      <c r="N6" s="3">
        <f>IFERROR(D6*Isospec!C5*Isospec!F5*SSLcm_m,".")</f>
        <v>3.9931256816730969E-15</v>
      </c>
      <c r="O6" s="3">
        <f>IFERROR(E6*Isospec!C5*Isospec!F5*SSLgram,".")</f>
        <v>1.2758189771073718E-12</v>
      </c>
      <c r="P6" s="3">
        <f>IFERROR(F6*Isospec!C5*Isospec!F5*SSLgram,".")</f>
        <v>4.1850497312627135E-13</v>
      </c>
      <c r="Q6" s="5">
        <f>IFERROR(G6*Isospec!C5*Isospec!F5*SSLgram,".")</f>
        <v>6.2053979574634859E-13</v>
      </c>
      <c r="R6" s="67">
        <f t="shared" ref="R6:R8" si="3">IF(D6&lt;&gt;".",D6*2.22*100,".")</f>
        <v>1424466609.3460028</v>
      </c>
    </row>
    <row r="7" spans="1:18">
      <c r="A7" s="87" t="s">
        <v>16</v>
      </c>
      <c r="B7" s="89" t="s">
        <v>59</v>
      </c>
      <c r="C7" s="2" t="str">
        <f>IFERROR((DL)/(Doses!I5*GSFb*Fin*Fi*Fam*Foff*Isospec!H6*ETiw*(1/24)*EFiw*(1/365)),".")</f>
        <v>.</v>
      </c>
      <c r="D7" s="3" t="str">
        <f>IFERROR((DL)/(Doses!L5*GSFb*Fin*Fi*Fam*Foff*Isospec!G6*ETiw*(1/24)*EFiw*(1/365)),".")</f>
        <v>.</v>
      </c>
      <c r="E7" s="3" t="str">
        <f>IFERROR((DL)/(Doses!M5*GSFb*Fin*Fi*Fam*Foff*Isospec!I6*ETiw*(1/24)*EFiw*(1/365)),".")</f>
        <v>.</v>
      </c>
      <c r="F7" s="3" t="str">
        <f>IFERROR((DL)/(Doses!N5*GSFb*Fin*Fi*Fam*Foff*Isospec!J6*ETiw*(1/24)*EFiw*(1/365)),".")</f>
        <v>.</v>
      </c>
      <c r="G7" s="5" t="str">
        <f>IFERROR((DL)/(Doses!O5*GSFb*Fin*Fi*Fam*Foff*Isospec!K6*ETiw*(1/24)*EFiw*(1/365)),".")</f>
        <v>.</v>
      </c>
      <c r="H7" s="2" t="str">
        <f t="shared" si="1"/>
        <v>.</v>
      </c>
      <c r="I7" s="3" t="str">
        <f t="shared" si="1"/>
        <v>.</v>
      </c>
      <c r="J7" s="3" t="str">
        <f t="shared" si="1"/>
        <v>.</v>
      </c>
      <c r="K7" s="3" t="str">
        <f t="shared" si="1"/>
        <v>.</v>
      </c>
      <c r="L7" s="5" t="str">
        <f t="shared" si="1"/>
        <v>.</v>
      </c>
      <c r="M7" s="2" t="str">
        <f>IFERROR(C7*Isospec!C6*Isospec!F6*SSLgram,".")</f>
        <v>.</v>
      </c>
      <c r="N7" s="3" t="str">
        <f>IFERROR(D7*Isospec!C6*Isospec!F6*SSLcm_m,".")</f>
        <v>.</v>
      </c>
      <c r="O7" s="3" t="str">
        <f>IFERROR(E7*Isospec!C6*Isospec!F6*SSLgram,".")</f>
        <v>.</v>
      </c>
      <c r="P7" s="3" t="str">
        <f>IFERROR(F7*Isospec!C6*Isospec!F6*SSLgram,".")</f>
        <v>.</v>
      </c>
      <c r="Q7" s="5" t="str">
        <f>IFERROR(G7*Isospec!C6*Isospec!F6*SSLgram,".")</f>
        <v>.</v>
      </c>
      <c r="R7" s="67" t="str">
        <f t="shared" si="3"/>
        <v>.</v>
      </c>
    </row>
    <row r="8" spans="1:18">
      <c r="A8" s="87" t="s">
        <v>18</v>
      </c>
      <c r="B8" s="12" t="s">
        <v>59</v>
      </c>
      <c r="C8" s="2">
        <f>IFERROR((DL)/(Doses!I6*GSFb*Fin*Fi*Fam*Foff*Isospec!H7*ETiw*(1/24)*EFiw*(1/365)),".")</f>
        <v>0.45695502160330587</v>
      </c>
      <c r="D8" s="3">
        <f>IFERROR((DL)/(Doses!L6*GSFb*Fin*Fi*Fam*Foff*Isospec!G7*ETiw*(1/24)*EFiw*(1/365)),".")</f>
        <v>4.1405998037871239</v>
      </c>
      <c r="E8" s="3">
        <f>IFERROR((DL)/(Doses!M6*GSFb*Fin*Fi*Fam*Foff*Isospec!I7*ETiw*(1/24)*EFiw*(1/365)),".")</f>
        <v>1.4219047002769645</v>
      </c>
      <c r="F8" s="3">
        <f>IFERROR((DL)/(Doses!N6*GSFb*Fin*Fi*Fam*Foff*Isospec!J7*ETiw*(1/24)*EFiw*(1/365)),".")</f>
        <v>0.29873234863667686</v>
      </c>
      <c r="G8" s="5">
        <f>IFERROR((DL)/(Doses!O6*GSFb*Fin*Fi*Fam*Foff*Isospec!K7*ETiw*(1/24)*EFiw*(1/365)),".")</f>
        <v>0.2487268108287288</v>
      </c>
      <c r="H8" s="2">
        <f t="shared" ref="H8:L9" si="4">IFERROR(C8/_1_bq,".")</f>
        <v>1.6907335799322333E-2</v>
      </c>
      <c r="I8" s="3">
        <f t="shared" si="4"/>
        <v>0.15320219274012373</v>
      </c>
      <c r="J8" s="3">
        <f t="shared" si="4"/>
        <v>5.2610473910247736E-2</v>
      </c>
      <c r="K8" s="3">
        <f t="shared" si="4"/>
        <v>1.1053096899557056E-2</v>
      </c>
      <c r="L8" s="5">
        <f t="shared" si="4"/>
        <v>9.2028920006629756E-3</v>
      </c>
      <c r="M8" s="2">
        <f>IFERROR(C8*Isospec!C7*Isospec!F7*SSLgram,".")</f>
        <v>8.5109368136319002E-16</v>
      </c>
      <c r="N8" s="3">
        <f>IFERROR(D8*Isospec!C7*Isospec!F7*SSLcm_m,".")</f>
        <v>7.7120026336338029E-18</v>
      </c>
      <c r="O8" s="3">
        <f>IFERROR(E8*Isospec!C7*Isospec!F7*SSLgram,".")</f>
        <v>2.648344035393767E-15</v>
      </c>
      <c r="P8" s="3">
        <f>IFERROR(F8*Isospec!C7*Isospec!F7*SSLgram,".")</f>
        <v>5.5639877520414108E-16</v>
      </c>
      <c r="Q8" s="5">
        <f>IFERROR(G8*Isospec!C7*Isospec!F7*SSLgram,".")</f>
        <v>4.6326182463035016E-16</v>
      </c>
      <c r="R8" s="67">
        <f t="shared" si="3"/>
        <v>919.21315644074161</v>
      </c>
    </row>
    <row r="9" spans="1:18">
      <c r="A9" s="87" t="s">
        <v>19</v>
      </c>
      <c r="B9" s="90" t="s">
        <v>59</v>
      </c>
      <c r="C9" s="2">
        <f>IFERROR((DL)/(Doses!I7*GSFb*Fin*Fi*Fam*Foff*Isospec!H8*ETiw*(1/24)*EFiw*(1/365)),".")</f>
        <v>247883182.83295166</v>
      </c>
      <c r="D9" s="3">
        <f>IFERROR((DL)/(Doses!L7*GSFb*Fin*Fi*Fam*Foff*Isospec!G8*ETiw*(1/24)*EFiw*(1/365)),".")</f>
        <v>38549608.275206901</v>
      </c>
      <c r="E9" s="3">
        <f>IFERROR((DL)/(Doses!M7*GSFb*Fin*Fi*Fam*Foff*Isospec!I8*ETiw*(1/24)*EFiw*(1/365)),".")</f>
        <v>193959592.724841</v>
      </c>
      <c r="F9" s="3">
        <f>IFERROR((DL)/(Doses!N7*GSFb*Fin*Fi*Fam*Foff*Isospec!J8*ETiw*(1/24)*EFiw*(1/365)),".")</f>
        <v>110230208.632286</v>
      </c>
      <c r="G9" s="5">
        <f>IFERROR((DL)/(Doses!O7*GSFb*Fin*Fi*Fam*Foff*Isospec!K8*ETiw*(1/24)*EFiw*(1/365)),".")</f>
        <v>178919928.13290063</v>
      </c>
      <c r="H9" s="2">
        <f t="shared" si="4"/>
        <v>9171677.7648192216</v>
      </c>
      <c r="I9" s="3">
        <f t="shared" si="4"/>
        <v>1426335.5061826569</v>
      </c>
      <c r="J9" s="3">
        <f t="shared" si="4"/>
        <v>7176504.930819124</v>
      </c>
      <c r="K9" s="3">
        <f t="shared" si="4"/>
        <v>4078517.719394586</v>
      </c>
      <c r="L9" s="5">
        <f t="shared" si="4"/>
        <v>6620037.3409173302</v>
      </c>
      <c r="M9" s="2">
        <f>IFERROR(C9*Isospec!C8*Isospec!F8*SSLgram,".")</f>
        <v>2.0018393878861048E-3</v>
      </c>
      <c r="N9" s="3">
        <f>IFERROR(D9*Isospec!C8*Isospec!F8*SSLcm_m,".")</f>
        <v>3.1131649735550715E-7</v>
      </c>
      <c r="O9" s="3">
        <f>IFERROR(E9*Isospec!C8*Isospec!F8*SSLgram,".")</f>
        <v>1.5663666568158953E-3</v>
      </c>
      <c r="P9" s="3">
        <f>IFERROR(F9*Isospec!C8*Isospec!F8*SSLgram,".")</f>
        <v>8.9019017285943847E-4</v>
      </c>
      <c r="Q9" s="5">
        <f>IFERROR(G9*Isospec!C8*Isospec!F8*SSLgram,".")</f>
        <v>1.4449102812091994E-3</v>
      </c>
      <c r="R9" s="67">
        <f t="shared" ref="R9:R11" si="5">IF(D9&lt;&gt;".",D9*2.22*100,".")</f>
        <v>8558013037.095933</v>
      </c>
    </row>
    <row r="10" spans="1:18">
      <c r="A10" s="87" t="s">
        <v>20</v>
      </c>
      <c r="B10" s="12" t="s">
        <v>59</v>
      </c>
      <c r="C10" s="2">
        <f>IFERROR((DL)/(Doses!I8*GSFb*Fin*Fi*Fam*Foff*Isospec!H9*ETiw*(1/24)*EFiw*(1/365)),".")</f>
        <v>8.2349874897277253</v>
      </c>
      <c r="D10" s="3">
        <f>IFERROR((DL)/(Doses!L8*GSFb*Fin*Fi*Fam*Foff*Isospec!G9*ETiw*(1/24)*EFiw*(1/365)),".")</f>
        <v>37.132184560227707</v>
      </c>
      <c r="E10" s="3">
        <f>IFERROR((DL)/(Doses!M8*GSFb*Fin*Fi*Fam*Foff*Isospec!I9*ETiw*(1/24)*EFiw*(1/365)),".")</f>
        <v>17.530334826266415</v>
      </c>
      <c r="F10" s="3">
        <f>IFERROR((DL)/(Doses!N8*GSFb*Fin*Fi*Fam*Foff*Isospec!J9*ETiw*(1/24)*EFiw*(1/365)),".")</f>
        <v>5.7000682766261512</v>
      </c>
      <c r="G10" s="5">
        <f>IFERROR((DL)/(Doses!O8*GSFb*Fin*Fi*Fam*Foff*Isospec!K9*ETiw*(1/24)*EFiw*(1/365)),".")</f>
        <v>4.6666741196735488</v>
      </c>
      <c r="H10" s="2">
        <f t="shared" ref="H10:L11" si="6">IFERROR(C10/_1_bq,".")</f>
        <v>0.30469453711992617</v>
      </c>
      <c r="I10" s="3">
        <f t="shared" si="6"/>
        <v>1.3738908287284266</v>
      </c>
      <c r="J10" s="3">
        <f t="shared" si="6"/>
        <v>0.64862238857185806</v>
      </c>
      <c r="K10" s="3">
        <f t="shared" si="6"/>
        <v>0.21090252623516781</v>
      </c>
      <c r="L10" s="5">
        <f t="shared" si="6"/>
        <v>0.17266694242792149</v>
      </c>
      <c r="M10" s="2">
        <f>IFERROR(C10*Isospec!C9*Isospec!F9*SSLgram,".")</f>
        <v>4.2600511550085427E-13</v>
      </c>
      <c r="N10" s="3">
        <f>IFERROR(D10*Isospec!C9*Isospec!F9*SSLcm_m,".")</f>
        <v>1.9208894478723558E-15</v>
      </c>
      <c r="O10" s="3">
        <f>IFERROR(E10*Isospec!C9*Isospec!F9*SSLgram,".")</f>
        <v>9.0686383212455713E-13</v>
      </c>
      <c r="P10" s="3">
        <f>IFERROR(F10*Isospec!C9*Isospec!F9*SSLgram,".")</f>
        <v>2.9487090873858328E-13</v>
      </c>
      <c r="Q10" s="5">
        <f>IFERROR(G10*Isospec!C9*Isospec!F9*SSLgram,".")</f>
        <v>2.4141227291920367E-13</v>
      </c>
      <c r="R10" s="67">
        <f t="shared" si="5"/>
        <v>8243.3449723705526</v>
      </c>
    </row>
    <row r="11" spans="1:18">
      <c r="A11" s="87" t="s">
        <v>21</v>
      </c>
      <c r="B11" s="90" t="s">
        <v>59</v>
      </c>
      <c r="C11" s="2">
        <f>IFERROR((DL)/(Doses!I9*GSFb*Fin*Fi*Fam*Foff*Isospec!H10*ETiw*(1/24)*EFiw*(1/365)),".")</f>
        <v>0.14118231808047738</v>
      </c>
      <c r="D11" s="3">
        <f>IFERROR((DL)/(Doses!L9*GSFb*Fin*Fi*Fam*Foff*Isospec!G10*ETiw*(1/24)*EFiw*(1/365)),".")</f>
        <v>1.2245663451196169</v>
      </c>
      <c r="E11" s="3">
        <f>IFERROR((DL)/(Doses!M9*GSFb*Fin*Fi*Fam*Foff*Isospec!I10*ETiw*(1/24)*EFiw*(1/365)),".")</f>
        <v>0.44955610650830974</v>
      </c>
      <c r="F11" s="3">
        <f>IFERROR((DL)/(Doses!N9*GSFb*Fin*Fi*Fam*Foff*Isospec!J10*ETiw*(1/24)*EFiw*(1/365)),".")</f>
        <v>0.10697255174233317</v>
      </c>
      <c r="G11" s="5">
        <f>IFERROR((DL)/(Doses!O9*GSFb*Fin*Fi*Fam*Foff*Isospec!K10*ETiw*(1/24)*EFiw*(1/365)),".")</f>
        <v>8.0502249227008535E-2</v>
      </c>
      <c r="H11" s="2">
        <f t="shared" si="6"/>
        <v>5.2237457689776681E-3</v>
      </c>
      <c r="I11" s="3">
        <f t="shared" si="6"/>
        <v>4.5308954769425869E-2</v>
      </c>
      <c r="J11" s="3">
        <f t="shared" si="6"/>
        <v>1.6633575940807478E-2</v>
      </c>
      <c r="K11" s="3">
        <f t="shared" si="6"/>
        <v>3.9579844144663314E-3</v>
      </c>
      <c r="L11" s="5">
        <f t="shared" si="6"/>
        <v>2.9785832213993189E-3</v>
      </c>
      <c r="M11" s="2">
        <f>IFERROR(C11*Isospec!C10*Isospec!F10*SSLgram,".")</f>
        <v>3.2029475939441824E-15</v>
      </c>
      <c r="N11" s="3">
        <f>IFERROR(D11*Isospec!C10*Isospec!F10*SSLcm_m,".")</f>
        <v>2.7781253927918481E-17</v>
      </c>
      <c r="O11" s="3">
        <f>IFERROR(E11*Isospec!C10*Isospec!F10*SSLgram,".")</f>
        <v>1.0198902166083746E-14</v>
      </c>
      <c r="P11" s="3">
        <f>IFERROR(F11*Isospec!C10*Isospec!F10*SSLgram,".")</f>
        <v>2.426844111072532E-15</v>
      </c>
      <c r="Q11" s="5">
        <f>IFERROR(G11*Isospec!C10*Isospec!F10*SSLgram,".")</f>
        <v>1.8263227929276825E-15</v>
      </c>
      <c r="R11" s="67">
        <f t="shared" si="5"/>
        <v>271.85372861655497</v>
      </c>
    </row>
    <row r="12" spans="1:18">
      <c r="A12" s="88" t="s">
        <v>17</v>
      </c>
      <c r="B12" s="12" t="s">
        <v>44</v>
      </c>
      <c r="C12" s="2">
        <f>IFERROR((DL)/(Doses!I10*GSFb*Fin*Fi*Fam*Foff*Isospec!H11*ETiw*(1/24)*EFiw*(1/365)),".")</f>
        <v>2621.8590529868438</v>
      </c>
      <c r="D12" s="3">
        <f>IFERROR((DL)/(Doses!L10*GSFb*Fin*Fi*Fam*Foff*Isospec!G11*ETiw*(1/24)*EFiw*(1/365)),".")</f>
        <v>613.01366827311449</v>
      </c>
      <c r="E12" s="3">
        <f>IFERROR((DL)/(Doses!M10*GSFb*Fin*Fi*Fam*Foff*Isospec!I11*ETiw*(1/24)*EFiw*(1/365)),".")</f>
        <v>4589.4233532007665</v>
      </c>
      <c r="F12" s="3">
        <f>IFERROR((DL)/(Doses!N10*GSFb*Fin*Fi*Fam*Foff*Isospec!J11*ETiw*(1/24)*EFiw*(1/365)),".")</f>
        <v>2559.100852107546</v>
      </c>
      <c r="G12" s="5">
        <f>IFERROR((DL)/(Doses!O10*GSFb*Fin*Fi*Fam*Foff*Isospec!K11*ETiw*(1/24)*EFiw*(1/365)),".")</f>
        <v>1908.5226136737213</v>
      </c>
      <c r="H12" s="2">
        <f t="shared" ref="H12:L12" si="7">IFERROR(C12/_1_bq,".")</f>
        <v>97.008784960513324</v>
      </c>
      <c r="I12" s="3">
        <f t="shared" si="7"/>
        <v>22.681505726105261</v>
      </c>
      <c r="J12" s="3">
        <f t="shared" si="7"/>
        <v>169.80866406842853</v>
      </c>
      <c r="K12" s="3">
        <f t="shared" si="7"/>
        <v>94.68673152797929</v>
      </c>
      <c r="L12" s="5">
        <f t="shared" si="7"/>
        <v>70.61533670592776</v>
      </c>
      <c r="M12" s="2">
        <f>IFERROR(C12*Isospec!C11*Isospec!F11*SSLgram,".")</f>
        <v>3.034041399345107E-5</v>
      </c>
      <c r="N12" s="3">
        <f>IFERROR(D12*Isospec!C11*Isospec!F11*SSLcm_m,".")</f>
        <v>7.0938552008972948E-9</v>
      </c>
      <c r="O12" s="3">
        <f>IFERROR(E12*Isospec!C11*Isospec!F11*SSLgram,".")</f>
        <v>5.3109263966228313E-5</v>
      </c>
      <c r="P12" s="3">
        <f>IFERROR(F12*Isospec!C11*Isospec!F11*SSLgram,".")</f>
        <v>2.9614169844669353E-5</v>
      </c>
      <c r="Q12" s="5">
        <f>IFERROR(G12*Isospec!C11*Isospec!F11*SSLgram,".")</f>
        <v>2.208561369794372E-5</v>
      </c>
      <c r="R12" s="67">
        <f t="shared" ref="R12" si="8">IF(D12&lt;&gt;".",D12*2.22*100,".")</f>
        <v>136089.03435663143</v>
      </c>
    </row>
    <row r="13" spans="1:18">
      <c r="A13" s="87" t="s">
        <v>24</v>
      </c>
      <c r="B13" s="12" t="s">
        <v>59</v>
      </c>
      <c r="C13" s="2">
        <f>IFERROR((DL)/(Doses!I11*GSFb*Fin*Fi*Fam*Foff*Isospec!H12*ETiw*(1/24)*EFiw*(1/365)),".")</f>
        <v>89.488555025905853</v>
      </c>
      <c r="D13" s="3">
        <f>IFERROR((DL)/(Doses!L11*GSFb*Fin*Fi*Fam*Foff*Isospec!G12*ETiw*(1/24)*EFiw*(1/365)),".")</f>
        <v>349.15669346758534</v>
      </c>
      <c r="E13" s="3">
        <f>IFERROR((DL)/(Doses!M11*GSFb*Fin*Fi*Fam*Foff*Isospec!I12*ETiw*(1/24)*EFiw*(1/365)),".")</f>
        <v>122.60041766684436</v>
      </c>
      <c r="F13" s="3">
        <f>IFERROR((DL)/(Doses!N11*GSFb*Fin*Fi*Fam*Foff*Isospec!J12*ETiw*(1/24)*EFiw*(1/365)),".")</f>
        <v>34.651666939360723</v>
      </c>
      <c r="G13" s="5">
        <f>IFERROR((DL)/(Doses!O11*GSFb*Fin*Fi*Fam*Foff*Isospec!K12*ETiw*(1/24)*EFiw*(1/365)),".")</f>
        <v>68.895509967240812</v>
      </c>
      <c r="H13" s="2">
        <f t="shared" ref="H13:L13" si="9">IFERROR(C13/_1_bq,".")</f>
        <v>3.3110765359585201</v>
      </c>
      <c r="I13" s="3">
        <f t="shared" si="9"/>
        <v>12.918797658300671</v>
      </c>
      <c r="J13" s="3">
        <f t="shared" si="9"/>
        <v>4.536215453673246</v>
      </c>
      <c r="K13" s="3">
        <f t="shared" si="9"/>
        <v>1.2821116767563481</v>
      </c>
      <c r="L13" s="5">
        <f t="shared" si="9"/>
        <v>2.5491338687879126</v>
      </c>
      <c r="M13" s="2">
        <f>IFERROR(C13*Isospec!C12*Isospec!F12*SSLgram,".")</f>
        <v>5.1624816869320777E-13</v>
      </c>
      <c r="N13" s="3">
        <f>IFERROR(D13*Isospec!C12*Isospec!F12*SSLcm_m,".")</f>
        <v>2.0142408550170023E-15</v>
      </c>
      <c r="O13" s="3">
        <f>IFERROR(E13*Isospec!C12*Isospec!F12*SSLgram,".")</f>
        <v>7.072663211872006E-13</v>
      </c>
      <c r="P13" s="3">
        <f>IFERROR(F13*Isospec!C12*Isospec!F12*SSLgram,".")</f>
        <v>1.9990108896532451E-13</v>
      </c>
      <c r="Q13" s="5">
        <f>IFERROR(G13*Isospec!C12*Isospec!F12*SSLgram,".")</f>
        <v>3.974494933064507E-13</v>
      </c>
      <c r="R13" s="67">
        <f t="shared" ref="R13" si="10">IF(D13&lt;&gt;".",D13*2.22*100,".")</f>
        <v>77512.785949803947</v>
      </c>
    </row>
    <row r="14" spans="1:18">
      <c r="A14" s="87" t="s">
        <v>22</v>
      </c>
      <c r="B14" s="89" t="s">
        <v>59</v>
      </c>
      <c r="C14" s="2">
        <f>IFERROR((DL)/(Doses!I12*GSFb*Fin*Fi*Fam*Foff*Isospec!H13*ETiw*(1/24)*EFiw*(1/365)),".")</f>
        <v>6.364220103758246</v>
      </c>
      <c r="D14" s="3">
        <f>IFERROR((DL)/(Doses!L12*GSFb*Fin*Fi*Fam*Foff*Isospec!G13*ETiw*(1/24)*EFiw*(1/365)),".")</f>
        <v>24.74165340305472</v>
      </c>
      <c r="E14" s="3">
        <f>IFERROR((DL)/(Doses!M12*GSFb*Fin*Fi*Fam*Foff*Isospec!I13*ETiw*(1/24)*EFiw*(1/365)),".")</f>
        <v>12.351300785031995</v>
      </c>
      <c r="F14" s="3">
        <f>IFERROR((DL)/(Doses!N12*GSFb*Fin*Fi*Fam*Foff*Isospec!J13*ETiw*(1/24)*EFiw*(1/365)),".")</f>
        <v>3.6212783174629455</v>
      </c>
      <c r="G14" s="5">
        <f>IFERROR((DL)/(Doses!O12*GSFb*Fin*Fi*Fam*Foff*Isospec!K13*ETiw*(1/24)*EFiw*(1/365)),".")</f>
        <v>4.6427374475072218</v>
      </c>
      <c r="H14" s="2">
        <f t="shared" ref="H14:L14" si="11">IFERROR(C14/_1_bq,".")</f>
        <v>0.23547614383905535</v>
      </c>
      <c r="I14" s="3">
        <f t="shared" si="11"/>
        <v>0.91544117591302554</v>
      </c>
      <c r="J14" s="3">
        <f t="shared" si="11"/>
        <v>0.45699812904618431</v>
      </c>
      <c r="K14" s="3">
        <f t="shared" si="11"/>
        <v>0.13398729774612911</v>
      </c>
      <c r="L14" s="5">
        <f t="shared" si="11"/>
        <v>0.17178128555776739</v>
      </c>
      <c r="M14" s="2">
        <f>IFERROR(C14*Isospec!C13*Isospec!F13*SSLgram,".")</f>
        <v>5.6921022774275944E-14</v>
      </c>
      <c r="N14" s="3">
        <f>IFERROR(D14*Isospec!C13*Isospec!F13*SSLcm_m,".")</f>
        <v>2.2128716384225431E-16</v>
      </c>
      <c r="O14" s="3">
        <f>IFERROR(E14*Isospec!C13*Isospec!F13*SSLgram,".")</f>
        <v>1.1046894384774171E-13</v>
      </c>
      <c r="P14" s="3">
        <f>IFERROR(F14*Isospec!C13*Isospec!F13*SSLgram,".")</f>
        <v>3.238839358471849E-14</v>
      </c>
      <c r="Q14" s="5">
        <f>IFERROR(G14*Isospec!C13*Isospec!F13*SSLgram,".")</f>
        <v>4.1524233869360378E-14</v>
      </c>
      <c r="R14" s="67">
        <f t="shared" ref="R14" si="12">IF(D14&lt;&gt;".",D14*2.22*100,".")</f>
        <v>5492.6470554781481</v>
      </c>
    </row>
    <row r="15" spans="1:18">
      <c r="A15" s="87" t="s">
        <v>28</v>
      </c>
      <c r="B15" s="12" t="s">
        <v>59</v>
      </c>
      <c r="C15" s="2">
        <f>IFERROR((DL)/(Doses!I13*GSFb*Fin*Fi*Fam*Foff*Isospec!H14*ETiw*(1/24)*EFiw*(1/365)),".")</f>
        <v>11.575489692772351</v>
      </c>
      <c r="D15" s="3">
        <f>IFERROR((DL)/(Doses!L13*GSFb*Fin*Fi*Fam*Foff*Isospec!G14*ETiw*(1/24)*EFiw*(1/365)),".")</f>
        <v>56.212070018557903</v>
      </c>
      <c r="E15" s="3">
        <f>IFERROR((DL)/(Doses!M13*GSFb*Fin*Fi*Fam*Foff*Isospec!I14*ETiw*(1/24)*EFiw*(1/365)),".")</f>
        <v>11.597789473951826</v>
      </c>
      <c r="F15" s="3">
        <f>IFERROR((DL)/(Doses!N13*GSFb*Fin*Fi*Fam*Foff*Isospec!J14*ETiw*(1/24)*EFiw*(1/365)),".")</f>
        <v>3.9758244212397891</v>
      </c>
      <c r="G15" s="5">
        <f>IFERROR((DL)/(Doses!O13*GSFb*Fin*Fi*Fam*Foff*Isospec!K14*ETiw*(1/24)*EFiw*(1/365)),".")</f>
        <v>33.485749086266189</v>
      </c>
      <c r="H15" s="2">
        <f t="shared" ref="H15:L15" si="13">IFERROR(C15/_1_bq,".")</f>
        <v>0.42829311863257741</v>
      </c>
      <c r="I15" s="3">
        <f t="shared" si="13"/>
        <v>2.0798465906866443</v>
      </c>
      <c r="J15" s="3">
        <f t="shared" si="13"/>
        <v>0.42911821053621801</v>
      </c>
      <c r="K15" s="3">
        <f t="shared" si="13"/>
        <v>0.14710550358587235</v>
      </c>
      <c r="L15" s="5">
        <f t="shared" si="13"/>
        <v>1.2389727161918502</v>
      </c>
      <c r="M15" s="2">
        <f>IFERROR(C15*Isospec!C14*Isospec!F14*SSLgram,".")</f>
        <v>1.6469125194505281E-2</v>
      </c>
      <c r="N15" s="3">
        <f>IFERROR(D15*Isospec!C14*Isospec!F14*SSLcm_m,".")</f>
        <v>7.9976194800291411E-5</v>
      </c>
      <c r="O15" s="3">
        <f>IFERROR(E15*Isospec!C14*Isospec!F14*SSLgram,".")</f>
        <v>1.6500852395496542E-2</v>
      </c>
      <c r="P15" s="3">
        <f>IFERROR(F15*Isospec!C14*Isospec!F14*SSLgram,".")</f>
        <v>5.656637592244048E-3</v>
      </c>
      <c r="Q15" s="5">
        <f>IFERROR(G15*Isospec!C14*Isospec!F14*SSLgram,".")</f>
        <v>4.7642130792777543E-2</v>
      </c>
      <c r="R15" s="67">
        <f t="shared" ref="R15:R16" si="14">IF(D15&lt;&gt;".",D15*2.22*100,".")</f>
        <v>12479.079544119855</v>
      </c>
    </row>
    <row r="16" spans="1:18">
      <c r="A16" s="87" t="s">
        <v>29</v>
      </c>
      <c r="B16" s="12" t="s">
        <v>59</v>
      </c>
      <c r="C16" s="2">
        <f>IFERROR((DL)/(Doses!I14*GSFb*Fin*Fi*Fam*Foff*Isospec!H15*ETiw*(1/24)*EFiw*(1/365)),".")</f>
        <v>0.77375278216493748</v>
      </c>
      <c r="D16" s="3">
        <f>IFERROR((DL)/(Doses!L14*GSFb*Fin*Fi*Fam*Foff*Isospec!G15*ETiw*(1/24)*EFiw*(1/365)),".")</f>
        <v>4.8500002970387266</v>
      </c>
      <c r="E16" s="3">
        <f>IFERROR((DL)/(Doses!M14*GSFb*Fin*Fi*Fam*Foff*Isospec!I15*ETiw*(1/24)*EFiw*(1/365)),".")</f>
        <v>1.0825273982967094</v>
      </c>
      <c r="F16" s="3">
        <f>IFERROR((DL)/(Doses!N14*GSFb*Fin*Fi*Fam*Foff*Isospec!J15*ETiw*(1/24)*EFiw*(1/365)),".")</f>
        <v>0.31961303582058026</v>
      </c>
      <c r="G16" s="5">
        <f>IFERROR((DL)/(Doses!O14*GSFb*Fin*Fi*Fam*Foff*Isospec!K15*ETiw*(1/24)*EFiw*(1/365)),".")</f>
        <v>1.1948813205515563</v>
      </c>
      <c r="H16" s="2">
        <f t="shared" ref="H16:L16" si="15">IFERROR(C16/_1_bq,".")</f>
        <v>2.8628852940102714E-2</v>
      </c>
      <c r="I16" s="3">
        <f t="shared" si="15"/>
        <v>0.17945001099043306</v>
      </c>
      <c r="J16" s="3">
        <f t="shared" si="15"/>
        <v>4.005351373697829E-2</v>
      </c>
      <c r="K16" s="3">
        <f t="shared" si="15"/>
        <v>1.1825682325361481E-2</v>
      </c>
      <c r="L16" s="5">
        <f t="shared" si="15"/>
        <v>4.4210608860407626E-2</v>
      </c>
      <c r="M16" s="2">
        <f>IFERROR(C16*Isospec!C15*Isospec!F15*SSLgram,".")</f>
        <v>3.7295458161318274E-11</v>
      </c>
      <c r="N16" s="3">
        <f>IFERROR(D16*Isospec!C15*Isospec!F15*SSLcm_m,".")</f>
        <v>2.3377361261885717E-13</v>
      </c>
      <c r="O16" s="3">
        <f>IFERROR(E16*Isospec!C15*Isospec!F15*SSLgram,".")</f>
        <v>5.2178623744256125E-11</v>
      </c>
      <c r="P16" s="3">
        <f>IFERROR(F16*Isospec!C15*Isospec!F15*SSLgram,".")</f>
        <v>1.5405585453155E-11</v>
      </c>
      <c r="Q16" s="5">
        <f>IFERROR(G16*Isospec!C15*Isospec!F15*SSLgram,".")</f>
        <v>5.7594166154315499E-11</v>
      </c>
      <c r="R16" s="67">
        <f t="shared" si="14"/>
        <v>1076.7000659425976</v>
      </c>
    </row>
    <row r="17" spans="1:18">
      <c r="A17" s="87" t="s">
        <v>32</v>
      </c>
      <c r="B17" s="12" t="s">
        <v>59</v>
      </c>
      <c r="C17" s="2" t="str">
        <f>IFERROR((DL)/(Doses!I15*GSFb*Fin*Fi*Fam*Foff*Isospec!H16*ETiw*(1/24)*EFiw*(1/365)),".")</f>
        <v>.</v>
      </c>
      <c r="D17" s="3" t="str">
        <f>IFERROR((DL)/(Doses!L15*GSFb*Fin*Fi*Fam*Foff*Isospec!G16*ETiw*(1/24)*EFiw*(1/365)),".")</f>
        <v>.</v>
      </c>
      <c r="E17" s="3" t="str">
        <f>IFERROR((DL)/(Doses!M15*GSFb*Fin*Fi*Fam*Foff*Isospec!I16*ETiw*(1/24)*EFiw*(1/365)),".")</f>
        <v>.</v>
      </c>
      <c r="F17" s="3" t="str">
        <f>IFERROR((DL)/(Doses!N15*GSFb*Fin*Fi*Fam*Foff*Isospec!J16*ETiw*(1/24)*EFiw*(1/365)),".")</f>
        <v>.</v>
      </c>
      <c r="G17" s="5" t="str">
        <f>IFERROR((DL)/(Doses!O15*GSFb*Fin*Fi*Fam*Foff*Isospec!K16*ETiw*(1/24)*EFiw*(1/365)),".")</f>
        <v>.</v>
      </c>
      <c r="H17" s="2" t="str">
        <f t="shared" ref="H17:L19" si="16">IFERROR(C17/_1_bq,".")</f>
        <v>.</v>
      </c>
      <c r="I17" s="3" t="str">
        <f t="shared" si="16"/>
        <v>.</v>
      </c>
      <c r="J17" s="3" t="str">
        <f t="shared" si="16"/>
        <v>.</v>
      </c>
      <c r="K17" s="3" t="str">
        <f t="shared" si="16"/>
        <v>.</v>
      </c>
      <c r="L17" s="5" t="str">
        <f t="shared" si="16"/>
        <v>.</v>
      </c>
      <c r="M17" s="2" t="str">
        <f>IFERROR(C17*Isospec!C16*Isospec!F16*SSLgram,".")</f>
        <v>.</v>
      </c>
      <c r="N17" s="3" t="str">
        <f>IFERROR(D17*Isospec!C16*Isospec!F16*SSLcm_m,".")</f>
        <v>.</v>
      </c>
      <c r="O17" s="3" t="str">
        <f>IFERROR(E17*Isospec!C16*Isospec!F16*SSLgram,".")</f>
        <v>.</v>
      </c>
      <c r="P17" s="3" t="str">
        <f>IFERROR(F17*Isospec!C16*Isospec!F16*SSLgram,".")</f>
        <v>.</v>
      </c>
      <c r="Q17" s="5" t="str">
        <f>IFERROR(G17*Isospec!C16*Isospec!F16*SSLgram,".")</f>
        <v>.</v>
      </c>
      <c r="R17" s="67" t="str">
        <f t="shared" ref="R17:R23" si="17">IF(D17&lt;&gt;".",D17*2.22*100,".")</f>
        <v>.</v>
      </c>
    </row>
    <row r="18" spans="1:18">
      <c r="A18" s="87" t="s">
        <v>33</v>
      </c>
      <c r="B18" s="90" t="s">
        <v>59</v>
      </c>
      <c r="C18" s="2">
        <f>IFERROR((DL)/(Doses!I16*GSFb*Fin*Fi*Fam*Foff*Isospec!H17*ETiw*(1/24)*EFiw*(1/365)),".")</f>
        <v>1017.2385518649644</v>
      </c>
      <c r="D18" s="3">
        <f>IFERROR((DL)/(Doses!L16*GSFb*Fin*Fi*Fam*Foff*Isospec!G17*ETiw*(1/24)*EFiw*(1/365)),".")</f>
        <v>1651.9410530782845</v>
      </c>
      <c r="E18" s="3">
        <f>IFERROR((DL)/(Doses!M16*GSFb*Fin*Fi*Fam*Foff*Isospec!I17*ETiw*(1/24)*EFiw*(1/365)),".")</f>
        <v>385.05503655092582</v>
      </c>
      <c r="F18" s="3">
        <f>IFERROR((DL)/(Doses!N16*GSFb*Fin*Fi*Fam*Foff*Isospec!J17*ETiw*(1/24)*EFiw*(1/365)),".")</f>
        <v>274.5138117101568</v>
      </c>
      <c r="G18" s="5">
        <f>IFERROR((DL)/(Doses!O16*GSFb*Fin*Fi*Fam*Foff*Isospec!K17*ETiw*(1/24)*EFiw*(1/365)),".")</f>
        <v>2745.8410726711231</v>
      </c>
      <c r="H18" s="2">
        <f t="shared" si="16"/>
        <v>37.637826419003723</v>
      </c>
      <c r="I18" s="3">
        <f t="shared" si="16"/>
        <v>61.121818963896587</v>
      </c>
      <c r="J18" s="3">
        <f t="shared" si="16"/>
        <v>14.247036352384269</v>
      </c>
      <c r="K18" s="3">
        <f t="shared" si="16"/>
        <v>10.157011033275811</v>
      </c>
      <c r="L18" s="5">
        <f t="shared" si="16"/>
        <v>101.59611968883166</v>
      </c>
      <c r="M18" s="2">
        <f>IFERROR(C18*Isospec!C17*Isospec!F17*SSLgram,".")</f>
        <v>1.3278625160624496E-5</v>
      </c>
      <c r="N18" s="3">
        <f>IFERROR(D18*Isospec!C17*Isospec!F17*SSLcm_m,".")</f>
        <v>2.1563777730462697E-8</v>
      </c>
      <c r="O18" s="3">
        <f>IFERROR(E18*Isospec!C17*Isospec!F17*SSLgram,".")</f>
        <v>5.0263544251211638E-6</v>
      </c>
      <c r="P18" s="3">
        <f>IFERROR(F18*Isospec!C17*Isospec!F17*SSLgram,".")</f>
        <v>3.5833934925397027E-6</v>
      </c>
      <c r="Q18" s="5">
        <f>IFERROR(G18*Isospec!C17*Isospec!F17*SSLgram,".")</f>
        <v>3.5843111026219769E-5</v>
      </c>
      <c r="R18" s="67">
        <f t="shared" si="17"/>
        <v>366730.91378337925</v>
      </c>
    </row>
    <row r="19" spans="1:18">
      <c r="A19" s="87" t="s">
        <v>34</v>
      </c>
      <c r="B19" s="90" t="s">
        <v>59</v>
      </c>
      <c r="C19" s="2">
        <f>IFERROR((DL)/(Doses!I17*GSFb*Fin*Fi*Fam*Foff*Isospec!H18*ETiw*(1/24)*EFiw*(1/365)),".")</f>
        <v>1.4973380055169556</v>
      </c>
      <c r="D19" s="3">
        <f>IFERROR((DL)/(Doses!L17*GSFb*Fin*Fi*Fam*Foff*Isospec!G18*ETiw*(1/24)*EFiw*(1/365)),".")</f>
        <v>6.555425089586489</v>
      </c>
      <c r="E19" s="3">
        <f>IFERROR((DL)/(Doses!M17*GSFb*Fin*Fi*Fam*Foff*Isospec!I18*ETiw*(1/24)*EFiw*(1/365)),".")</f>
        <v>2.286231093777241</v>
      </c>
      <c r="F19" s="3">
        <f>IFERROR((DL)/(Doses!N17*GSFb*Fin*Fi*Fam*Foff*Isospec!J18*ETiw*(1/24)*EFiw*(1/365)),".")</f>
        <v>0.73118903831593318</v>
      </c>
      <c r="G19" s="5">
        <f>IFERROR((DL)/(Doses!O17*GSFb*Fin*Fi*Fam*Foff*Isospec!K18*ETiw*(1/24)*EFiw*(1/365)),".")</f>
        <v>1.0560775426391051</v>
      </c>
      <c r="H19" s="2">
        <f t="shared" si="16"/>
        <v>5.5401506204127413E-2</v>
      </c>
      <c r="I19" s="3">
        <f t="shared" si="16"/>
        <v>0.24255072831470034</v>
      </c>
      <c r="J19" s="3">
        <f t="shared" si="16"/>
        <v>8.4590550469757997E-2</v>
      </c>
      <c r="K19" s="3">
        <f t="shared" si="16"/>
        <v>2.7053994417689554E-2</v>
      </c>
      <c r="L19" s="5">
        <f t="shared" si="16"/>
        <v>3.9074869077646929E-2</v>
      </c>
      <c r="M19" s="2">
        <f>IFERROR(C19*Isospec!C18*Isospec!F18*SSLgram,".")</f>
        <v>4.5747892317112146E-14</v>
      </c>
      <c r="N19" s="3">
        <f>IFERROR(D19*Isospec!C18*Isospec!F18*SSLcm_m,".")</f>
        <v>2.0028669544640233E-16</v>
      </c>
      <c r="O19" s="3">
        <f>IFERROR(E19*Isospec!C18*Isospec!F18*SSLgram,".")</f>
        <v>6.9850797551916121E-14</v>
      </c>
      <c r="P19" s="3">
        <f>IFERROR(F19*Isospec!C18*Isospec!F18*SSLgram,".")</f>
        <v>2.2339884024236314E-14</v>
      </c>
      <c r="Q19" s="5">
        <f>IFERROR(G19*Isospec!C18*Isospec!F18*SSLgram,".")</f>
        <v>3.2266142661952956E-14</v>
      </c>
      <c r="R19" s="67">
        <f t="shared" si="17"/>
        <v>1455.3043698882007</v>
      </c>
    </row>
    <row r="20" spans="1:18">
      <c r="A20" s="87" t="s">
        <v>36</v>
      </c>
      <c r="B20" s="90" t="s">
        <v>59</v>
      </c>
      <c r="C20" s="2">
        <f>IFERROR((DL)/(Doses!I18*GSFb*Fin*Fi*Fam*Foff*Isospec!H19*ETiw*(1/24)*EFiw*(1/365)),".")</f>
        <v>2679917499.8324876</v>
      </c>
      <c r="D20" s="3">
        <f>IFERROR((DL)/(Doses!L18*GSFb*Fin*Fi*Fam*Foff*Isospec!G19*ETiw*(1/24)*EFiw*(1/365)),".")</f>
        <v>21150197168.345898</v>
      </c>
      <c r="E20" s="3">
        <f>IFERROR((DL)/(Doses!M18*GSFb*Fin*Fi*Fam*Foff*Isospec!I19*ETiw*(1/24)*EFiw*(1/365)),".")</f>
        <v>7039435745.1032133</v>
      </c>
      <c r="F20" s="3">
        <f>IFERROR((DL)/(Doses!N18*GSFb*Fin*Fi*Fam*Foff*Isospec!J19*ETiw*(1/24)*EFiw*(1/365)),".")</f>
        <v>1602597630.6317658</v>
      </c>
      <c r="G20" s="5">
        <f>IFERROR((DL)/(Doses!O18*GSFb*Fin*Fi*Fam*Foff*Isospec!K19*ETiw*(1/24)*EFiw*(1/365)),".")</f>
        <v>1519837434.9312439</v>
      </c>
      <c r="H20" s="2">
        <f t="shared" ref="H20:L23" si="18">IFERROR(C20/_1_bq,".")</f>
        <v>99156947.493802145</v>
      </c>
      <c r="I20" s="3">
        <f t="shared" si="18"/>
        <v>782557295.22879899</v>
      </c>
      <c r="J20" s="3">
        <f t="shared" si="18"/>
        <v>260459122.56881917</v>
      </c>
      <c r="K20" s="3">
        <f t="shared" si="18"/>
        <v>59296112.333375394</v>
      </c>
      <c r="L20" s="5">
        <f t="shared" si="18"/>
        <v>56233985.09245608</v>
      </c>
      <c r="M20" s="2">
        <f>IFERROR(C20*Isospec!C19*Isospec!F19*SSLgram,".")</f>
        <v>0.59740198138796829</v>
      </c>
      <c r="N20" s="3">
        <f>IFERROR(D20*Isospec!C19*Isospec!F19*SSLcm_m,".")</f>
        <v>4.7147606953967117E-3</v>
      </c>
      <c r="O20" s="3">
        <f>IFERROR(E20*Isospec!C19*Isospec!F19*SSLgram,".")</f>
        <v>1.5692172845771604</v>
      </c>
      <c r="P20" s="3">
        <f>IFERROR(F20*Isospec!C19*Isospec!F19*SSLgram,".")</f>
        <v>0.35724793765738072</v>
      </c>
      <c r="Q20" s="5">
        <f>IFERROR(G20*Isospec!C19*Isospec!F19*SSLgram,".")</f>
        <v>0.33879919627088728</v>
      </c>
      <c r="R20" s="67">
        <f t="shared" si="17"/>
        <v>4695343771372.79</v>
      </c>
    </row>
    <row r="21" spans="1:18">
      <c r="A21" s="87" t="s">
        <v>37</v>
      </c>
      <c r="B21" s="12" t="s">
        <v>59</v>
      </c>
      <c r="C21" s="2">
        <f>IFERROR((DL)/(Doses!I19*GSFb*Fin*Fi*Fam*Foff*Isospec!H20*ETiw*(1/24)*EFiw*(1/365)),".")</f>
        <v>168989091.32539004</v>
      </c>
      <c r="D21" s="3">
        <f>IFERROR((DL)/(Doses!L19*GSFb*Fin*Fi*Fam*Foff*Isospec!G20*ETiw*(1/24)*EFiw*(1/365)),".")</f>
        <v>1313904563.0202782</v>
      </c>
      <c r="E21" s="3">
        <f>IFERROR((DL)/(Doses!M19*GSFb*Fin*Fi*Fam*Foff*Isospec!I20*ETiw*(1/24)*EFiw*(1/365)),".")</f>
        <v>437472742.49008256</v>
      </c>
      <c r="F21" s="3">
        <f>IFERROR((DL)/(Doses!N19*GSFb*Fin*Fi*Fam*Foff*Isospec!J20*ETiw*(1/24)*EFiw*(1/365)),".")</f>
        <v>101214956.2334628</v>
      </c>
      <c r="G21" s="5">
        <f>IFERROR((DL)/(Doses!O19*GSFb*Fin*Fi*Fam*Foff*Isospec!K20*ETiw*(1/24)*EFiw*(1/365)),".")</f>
        <v>94262209.243863627</v>
      </c>
      <c r="H21" s="2">
        <f t="shared" si="18"/>
        <v>6252596.3790394375</v>
      </c>
      <c r="I21" s="3">
        <f t="shared" si="18"/>
        <v>48614468.831750341</v>
      </c>
      <c r="J21" s="3">
        <f t="shared" si="18"/>
        <v>16186491.472133072</v>
      </c>
      <c r="K21" s="3">
        <f t="shared" si="18"/>
        <v>3744953.3806381272</v>
      </c>
      <c r="L21" s="5">
        <f t="shared" si="18"/>
        <v>3487701.7420229577</v>
      </c>
      <c r="M21" s="2">
        <f>IFERROR(C21*Isospec!C20*Isospec!F20*SSLgram,".")</f>
        <v>1.342267234522891E-14</v>
      </c>
      <c r="N21" s="3">
        <f>IFERROR(D21*Isospec!C20*Isospec!F20*SSLcm_m,".")</f>
        <v>1.0436241951478322E-16</v>
      </c>
      <c r="O21" s="3">
        <f>IFERROR(E21*Isospec!C20*Isospec!F20*SSLgram,".")</f>
        <v>3.4748120345273577E-14</v>
      </c>
      <c r="P21" s="3">
        <f>IFERROR(F21*Isospec!C20*Isospec!F20*SSLgram,".")</f>
        <v>8.0394254049363845E-15</v>
      </c>
      <c r="Q21" s="5">
        <f>IFERROR(G21*Isospec!C20*Isospec!F20*SSLgram,".")</f>
        <v>7.4871741086620641E-15</v>
      </c>
      <c r="R21" s="67">
        <f t="shared" si="17"/>
        <v>291686812990.50177</v>
      </c>
    </row>
    <row r="22" spans="1:18">
      <c r="A22" s="87" t="s">
        <v>38</v>
      </c>
      <c r="B22" s="90" t="s">
        <v>59</v>
      </c>
      <c r="C22" s="2">
        <f>IFERROR((DL)/(Doses!I20*GSFb*Fin*Fi*Fam*Foff*Isospec!H21*ETiw*(1/24)*EFiw*(1/365)),".")</f>
        <v>36618102.447603486</v>
      </c>
      <c r="D22" s="3">
        <f>IFERROR((DL)/(Doses!L20*GSFb*Fin*Fi*Fam*Foff*Isospec!G21*ETiw*(1/24)*EFiw*(1/365)),".")</f>
        <v>287976726.55222362</v>
      </c>
      <c r="E22" s="3">
        <f>IFERROR((DL)/(Doses!M20*GSFb*Fin*Fi*Fam*Foff*Isospec!I21*ETiw*(1/24)*EFiw*(1/365)),".")</f>
        <v>95905530.597496882</v>
      </c>
      <c r="F22" s="3">
        <f>IFERROR((DL)/(Doses!N20*GSFb*Fin*Fi*Fam*Foff*Isospec!J21*ETiw*(1/24)*EFiw*(1/365)),".")</f>
        <v>21888184.946123913</v>
      </c>
      <c r="G22" s="5">
        <f>IFERROR((DL)/(Doses!O20*GSFb*Fin*Fi*Fam*Foff*Isospec!K21*ETiw*(1/24)*EFiw*(1/365)),".")</f>
        <v>20642867.966809515</v>
      </c>
      <c r="H22" s="2">
        <f t="shared" si="18"/>
        <v>1354869.7905613303</v>
      </c>
      <c r="I22" s="3">
        <f t="shared" si="18"/>
        <v>10655138.882432286</v>
      </c>
      <c r="J22" s="3">
        <f t="shared" si="18"/>
        <v>3548504.6321073882</v>
      </c>
      <c r="K22" s="3">
        <f t="shared" si="18"/>
        <v>809862.84300658561</v>
      </c>
      <c r="L22" s="5">
        <f t="shared" si="18"/>
        <v>763786.11477195285</v>
      </c>
      <c r="M22" s="2">
        <f>IFERROR(C22*Isospec!C21*Isospec!F21*SSLgram,".")</f>
        <v>1.1431378284814256E-13</v>
      </c>
      <c r="N22" s="3">
        <f>IFERROR(D22*Isospec!C21*Isospec!F21*SSLcm_m,".")</f>
        <v>8.9900095264396459E-16</v>
      </c>
      <c r="O22" s="3">
        <f>IFERROR(E22*Isospec!C21*Isospec!F21*SSLgram,".")</f>
        <v>2.9939628942667005E-13</v>
      </c>
      <c r="P22" s="3">
        <f>IFERROR(F22*Isospec!C21*Isospec!F21*SSLgram,".")</f>
        <v>6.8330171516982744E-14</v>
      </c>
      <c r="Q22" s="5">
        <f>IFERROR(G22*Isospec!C21*Isospec!F21*SSLgram,".")</f>
        <v>6.444256169465106E-14</v>
      </c>
      <c r="R22" s="67">
        <f t="shared" si="17"/>
        <v>63930833294.593643</v>
      </c>
    </row>
    <row r="23" spans="1:18">
      <c r="A23" s="87" t="s">
        <v>39</v>
      </c>
      <c r="B23" s="90" t="s">
        <v>59</v>
      </c>
      <c r="C23" s="2" t="str">
        <f>IFERROR((DL)/(Doses!I21*GSFb*Fin*Fi*Fam*Foff*Isospec!H22*ETiw*(1/24)*EFiw*(1/365)),".")</f>
        <v>.</v>
      </c>
      <c r="D23" s="3" t="str">
        <f>IFERROR((DL)/(Doses!L21*GSFb*Fin*Fi*Fam*Foff*Isospec!G22*ETiw*(1/24)*EFiw*(1/365)),".")</f>
        <v>.</v>
      </c>
      <c r="E23" s="3" t="str">
        <f>IFERROR((DL)/(Doses!M21*GSFb*Fin*Fi*Fam*Foff*Isospec!I22*ETiw*(1/24)*EFiw*(1/365)),".")</f>
        <v>.</v>
      </c>
      <c r="F23" s="3" t="str">
        <f>IFERROR((DL)/(Doses!N21*GSFb*Fin*Fi*Fam*Foff*Isospec!J22*ETiw*(1/24)*EFiw*(1/365)),".")</f>
        <v>.</v>
      </c>
      <c r="G23" s="5" t="str">
        <f>IFERROR((DL)/(Doses!O21*GSFb*Fin*Fi*Fam*Foff*Isospec!K22*ETiw*(1/24)*EFiw*(1/365)),".")</f>
        <v>.</v>
      </c>
      <c r="H23" s="2" t="str">
        <f t="shared" si="18"/>
        <v>.</v>
      </c>
      <c r="I23" s="3" t="str">
        <f t="shared" si="18"/>
        <v>.</v>
      </c>
      <c r="J23" s="3" t="str">
        <f t="shared" si="18"/>
        <v>.</v>
      </c>
      <c r="K23" s="3" t="str">
        <f t="shared" si="18"/>
        <v>.</v>
      </c>
      <c r="L23" s="5" t="str">
        <f t="shared" si="18"/>
        <v>.</v>
      </c>
      <c r="M23" s="2" t="str">
        <f>IFERROR(C23*Isospec!C22*Isospec!F22*SSLgram,".")</f>
        <v>.</v>
      </c>
      <c r="N23" s="3" t="str">
        <f>IFERROR(D23*Isospec!C22*Isospec!F22*SSLcm_m,".")</f>
        <v>.</v>
      </c>
      <c r="O23" s="3" t="str">
        <f>IFERROR(E23*Isospec!C22*Isospec!F22*SSLgram,".")</f>
        <v>.</v>
      </c>
      <c r="P23" s="3" t="str">
        <f>IFERROR(F23*Isospec!C22*Isospec!F22*SSLgram,".")</f>
        <v>.</v>
      </c>
      <c r="Q23" s="5" t="str">
        <f>IFERROR(G23*Isospec!C22*Isospec!F22*SSLgram,".")</f>
        <v>.</v>
      </c>
      <c r="R23" s="67" t="str">
        <f t="shared" si="17"/>
        <v>.</v>
      </c>
    </row>
    <row r="24" spans="1:18">
      <c r="A24" s="87" t="s">
        <v>26</v>
      </c>
      <c r="B24" s="12" t="s">
        <v>59</v>
      </c>
      <c r="C24" s="2">
        <f>IFERROR((DL)/(Doses!I22*GSFb*Fin*Fi*Fam*Foff*Isospec!H23*ETiw*(1/24)*EFiw*(1/365)),".")</f>
        <v>161.79203695507775</v>
      </c>
      <c r="D24" s="3">
        <f>IFERROR((DL)/(Doses!L22*GSFb*Fin*Fi*Fam*Foff*Isospec!G23*ETiw*(1/24)*EFiw*(1/365)),".")</f>
        <v>279.25394082446917</v>
      </c>
      <c r="E24" s="3">
        <f>IFERROR((DL)/(Doses!M22*GSFb*Fin*Fi*Fam*Foff*Isospec!I23*ETiw*(1/24)*EFiw*(1/365)),".")</f>
        <v>112.77026604509986</v>
      </c>
      <c r="F24" s="3">
        <f>IFERROR((DL)/(Doses!N22*GSFb*Fin*Fi*Fam*Foff*Isospec!J23*ETiw*(1/24)*EFiw*(1/365)),".")</f>
        <v>67.842581161434751</v>
      </c>
      <c r="G24" s="5">
        <f>IFERROR((DL)/(Doses!O22*GSFb*Fin*Fi*Fam*Foff*Isospec!K23*ETiw*(1/24)*EFiw*(1/365)),".")</f>
        <v>594.74530998143575</v>
      </c>
      <c r="H24" s="2">
        <f t="shared" ref="H24:L25" si="19">IFERROR(C24/_1_bq,".")</f>
        <v>5.9863053673378825</v>
      </c>
      <c r="I24" s="3">
        <f t="shared" si="19"/>
        <v>10.332395810505369</v>
      </c>
      <c r="J24" s="3">
        <f t="shared" si="19"/>
        <v>4.1724998436686986</v>
      </c>
      <c r="K24" s="3">
        <f t="shared" si="19"/>
        <v>2.5101755029730883</v>
      </c>
      <c r="L24" s="5">
        <f t="shared" si="19"/>
        <v>22.005576469313144</v>
      </c>
      <c r="M24" s="2">
        <f>IFERROR(C24*Isospec!C23*Isospec!F23*SSLgram,".")</f>
        <v>4.1609365778008435E-9</v>
      </c>
      <c r="N24" s="3">
        <f>IFERROR(D24*Isospec!C23*Isospec!F23*SSLcm_m,".")</f>
        <v>7.1817992945733716E-12</v>
      </c>
      <c r="O24" s="3">
        <f>IFERROR(E24*Isospec!C23*Isospec!F23*SSLgram,".")</f>
        <v>2.9002040749735551E-9</v>
      </c>
      <c r="P24" s="3">
        <f>IFERROR(F24*Isospec!C23*Isospec!F23*SSLgram,".")</f>
        <v>1.7447624914037948E-9</v>
      </c>
      <c r="Q24" s="5">
        <f>IFERROR(G24*Isospec!C23*Isospec!F23*SSLgram,".")</f>
        <v>1.5295545821358115E-8</v>
      </c>
      <c r="R24" s="67">
        <f t="shared" ref="R24:R25" si="20">IF(D24&lt;&gt;".",D24*2.22*100,".")</f>
        <v>61994.374863032157</v>
      </c>
    </row>
    <row r="25" spans="1:18">
      <c r="A25" s="88" t="s">
        <v>27</v>
      </c>
      <c r="B25" s="90" t="s">
        <v>44</v>
      </c>
      <c r="C25" s="2">
        <f>IFERROR((DL)/(Doses!I23*GSFb*Fin*Fi*Fam*Foff*Isospec!H24*ETiw*(1/24)*EFiw*(1/365)),".")</f>
        <v>75.312354255992673</v>
      </c>
      <c r="D25" s="3">
        <f>IFERROR((DL)/(Doses!L23*GSFb*Fin*Fi*Fam*Foff*Isospec!G24*ETiw*(1/24)*EFiw*(1/365)),".")</f>
        <v>312.52717033818243</v>
      </c>
      <c r="E25" s="3">
        <f>IFERROR((DL)/(Doses!M23*GSFb*Fin*Fi*Fam*Foff*Isospec!I24*ETiw*(1/24)*EFiw*(1/365)),".")</f>
        <v>248.44374328281563</v>
      </c>
      <c r="F25" s="3">
        <f>IFERROR((DL)/(Doses!N23*GSFb*Fin*Fi*Fam*Foff*Isospec!J24*ETiw*(1/24)*EFiw*(1/365)),".")</f>
        <v>87.353960170835862</v>
      </c>
      <c r="G25" s="5">
        <f>IFERROR((DL)/(Doses!O23*GSFb*Fin*Fi*Fam*Foff*Isospec!K24*ETiw*(1/24)*EFiw*(1/365)),".")</f>
        <v>70.283615343034882</v>
      </c>
      <c r="H25" s="2">
        <f t="shared" si="19"/>
        <v>2.7865571074717317</v>
      </c>
      <c r="I25" s="3">
        <f t="shared" si="19"/>
        <v>11.563505302512761</v>
      </c>
      <c r="J25" s="3">
        <f t="shared" si="19"/>
        <v>9.1924185014641875</v>
      </c>
      <c r="K25" s="3">
        <f t="shared" si="19"/>
        <v>3.2320965263209303</v>
      </c>
      <c r="L25" s="5">
        <f t="shared" si="19"/>
        <v>2.6004937676922935</v>
      </c>
      <c r="M25" s="2">
        <f>IFERROR(C25*Isospec!C24*Isospec!F24*SSLgram,".")</f>
        <v>7.625225243710746E-5</v>
      </c>
      <c r="N25" s="3">
        <f>IFERROR(D25*Isospec!C24*Isospec!F24*SSLcm_m,".")</f>
        <v>3.1642750942400299E-7</v>
      </c>
      <c r="O25" s="3">
        <f>IFERROR(E25*Isospec!C24*Isospec!F24*SSLgram,".")</f>
        <v>2.5154432119898514E-4</v>
      </c>
      <c r="P25" s="3">
        <f>IFERROR(F25*Isospec!C24*Isospec!F24*SSLgram,".")</f>
        <v>8.8444137593767877E-5</v>
      </c>
      <c r="Q25" s="5">
        <f>IFERROR(G25*Isospec!C24*Isospec!F24*SSLgram,".")</f>
        <v>7.116075486251595E-5</v>
      </c>
      <c r="R25" s="67">
        <f t="shared" si="20"/>
        <v>69381.031815076509</v>
      </c>
    </row>
    <row r="26" spans="1:18">
      <c r="A26" s="87" t="s">
        <v>30</v>
      </c>
      <c r="B26" s="90" t="s">
        <v>59</v>
      </c>
      <c r="C26" s="2">
        <f>IFERROR((DL)/(Doses!I24*GSFb*Fin*Fi*Fam*Foff*Isospec!H25*ETiw*(1/24)*EFiw*(1/365)),".")</f>
        <v>270440.06744759181</v>
      </c>
      <c r="D26" s="3">
        <f>IFERROR((DL)/(Doses!L24*GSFb*Fin*Fi*Fam*Foff*Isospec!G25*ETiw*(1/24)*EFiw*(1/365)),".")</f>
        <v>2595959.9222895605</v>
      </c>
      <c r="E26" s="3">
        <f>IFERROR((DL)/(Doses!M24*GSFb*Fin*Fi*Fam*Foff*Isospec!I25*ETiw*(1/24)*EFiw*(1/365)),".")</f>
        <v>923573.28177490062</v>
      </c>
      <c r="F26" s="3">
        <f>IFERROR((DL)/(Doses!N24*GSFb*Fin*Fi*Fam*Foff*Isospec!J25*ETiw*(1/24)*EFiw*(1/365)),".")</f>
        <v>206626.67443909467</v>
      </c>
      <c r="G26" s="5">
        <f>IFERROR((DL)/(Doses!O24*GSFb*Fin*Fi*Fam*Foff*Isospec!K25*ETiw*(1/24)*EFiw*(1/365)),".")</f>
        <v>139689.89607346</v>
      </c>
      <c r="H26" s="2">
        <f t="shared" ref="H26:L27" si="21">IFERROR(C26/_1_bq,".")</f>
        <v>10006.282495560907</v>
      </c>
      <c r="I26" s="3">
        <f t="shared" si="21"/>
        <v>96050.517124713835</v>
      </c>
      <c r="J26" s="3">
        <f t="shared" si="21"/>
        <v>34172.211425671354</v>
      </c>
      <c r="K26" s="3">
        <f t="shared" si="21"/>
        <v>7645.1869542465101</v>
      </c>
      <c r="L26" s="5">
        <f t="shared" si="21"/>
        <v>5168.5261547180253</v>
      </c>
      <c r="M26" s="2">
        <f>IFERROR(C26*Isospec!C25*Isospec!F25*SSLgram,".")</f>
        <v>1.832090817145661E-13</v>
      </c>
      <c r="N26" s="3">
        <f>IFERROR(D26*Isospec!C25*Isospec!F25*SSLcm_m,".")</f>
        <v>1.7586278468986601E-15</v>
      </c>
      <c r="O26" s="3">
        <f>IFERROR(E26*Isospec!C25*Isospec!F25*SSLgram,".")</f>
        <v>6.2567286884321649E-13</v>
      </c>
      <c r="P26" s="3">
        <f>IFERROR(F26*Isospec!C25*Isospec!F25*SSLgram,".")</f>
        <v>1.3997882650675339E-13</v>
      </c>
      <c r="Q26" s="5">
        <f>IFERROR(G26*Isospec!C25*Isospec!F25*SSLgram,".")</f>
        <v>9.463264014819589E-14</v>
      </c>
      <c r="R26" s="67">
        <f t="shared" ref="R26:R27" si="22">IF(D26&lt;&gt;".",D26*2.22*100,".")</f>
        <v>576303102.74828255</v>
      </c>
    </row>
    <row r="27" spans="1:18">
      <c r="A27" s="88" t="s">
        <v>31</v>
      </c>
      <c r="B27" s="90" t="s">
        <v>44</v>
      </c>
      <c r="C27" s="2">
        <f>IFERROR((DL)/(Doses!I25*GSFb*Fin*Fi*Fam*Foff*Isospec!H26*ETiw*(1/24)*EFiw*(1/365)),".")</f>
        <v>883809.6836997288</v>
      </c>
      <c r="D27" s="3">
        <f>IFERROR((DL)/(Doses!L25*GSFb*Fin*Fi*Fam*Foff*Isospec!G26*ETiw*(1/24)*EFiw*(1/365)),".")</f>
        <v>7953908.9111111956</v>
      </c>
      <c r="E27" s="3">
        <f>IFERROR((DL)/(Doses!M25*GSFb*Fin*Fi*Fam*Foff*Isospec!I26*ETiw*(1/24)*EFiw*(1/365)),".")</f>
        <v>3043609.4492474725</v>
      </c>
      <c r="F27" s="3">
        <f>IFERROR((DL)/(Doses!N25*GSFb*Fin*Fi*Fam*Foff*Isospec!J26*ETiw*(1/24)*EFiw*(1/365)),".")</f>
        <v>779383.45325324591</v>
      </c>
      <c r="G27" s="5">
        <f>IFERROR((DL)/(Doses!O25*GSFb*Fin*Fi*Fam*Foff*Isospec!K26*ETiw*(1/24)*EFiw*(1/365)),".")</f>
        <v>514549.33415515145</v>
      </c>
      <c r="H27" s="2">
        <f t="shared" si="21"/>
        <v>32700.958296889999</v>
      </c>
      <c r="I27" s="3">
        <f t="shared" si="21"/>
        <v>294294.62971111451</v>
      </c>
      <c r="J27" s="3">
        <f t="shared" si="21"/>
        <v>112613.5496221566</v>
      </c>
      <c r="K27" s="3">
        <f t="shared" si="21"/>
        <v>28837.187770370128</v>
      </c>
      <c r="L27" s="5">
        <f t="shared" si="21"/>
        <v>19038.325363740623</v>
      </c>
      <c r="M27" s="2">
        <f>IFERROR(C27*Isospec!C26*Isospec!F26*SSLgram,".")</f>
        <v>5.7549027835862529E-6</v>
      </c>
      <c r="N27" s="3">
        <f>IFERROR(D27*Isospec!C26*Isospec!F26*SSLcm_m,".")</f>
        <v>5.1791662138538945E-8</v>
      </c>
      <c r="O27" s="3">
        <f>IFERROR(E27*Isospec!C26*Isospec!F26*SSLgram,".")</f>
        <v>1.9818380376079463E-5</v>
      </c>
      <c r="P27" s="3">
        <f>IFERROR(F27*Isospec!C26*Isospec!F26*SSLgram,".")</f>
        <v>5.0749342164166969E-6</v>
      </c>
      <c r="Q27" s="5">
        <f>IFERROR(G27*Isospec!C26*Isospec!F26*SSLgram,".")</f>
        <v>3.3504740330815219E-6</v>
      </c>
      <c r="R27" s="67">
        <f t="shared" si="22"/>
        <v>1765767778.2666855</v>
      </c>
    </row>
    <row r="28" spans="1:18">
      <c r="A28" s="87" t="s">
        <v>35</v>
      </c>
      <c r="B28" s="12" t="s">
        <v>59</v>
      </c>
      <c r="C28" s="2">
        <f>IFERROR((DL)/(Doses!I26*GSFb*Fin*Fi*Fam*Foff*Isospec!H27*ETiw*(1/24)*EFiw*(1/365)),".")</f>
        <v>1.8788934208943553</v>
      </c>
      <c r="D28" s="3">
        <f>IFERROR((DL)/(Doses!L26*GSFb*Fin*Fi*Fam*Foff*Isospec!G27*ETiw*(1/24)*EFiw*(1/365)),".")</f>
        <v>9.722058835351751</v>
      </c>
      <c r="E28" s="3">
        <f>IFERROR((DL)/(Doses!M26*GSFb*Fin*Fi*Fam*Foff*Isospec!I27*ETiw*(1/24)*EFiw*(1/365)),".")</f>
        <v>1.7994589915755372</v>
      </c>
      <c r="F28" s="3">
        <f>IFERROR((DL)/(Doses!N26*GSFb*Fin*Fi*Fam*Foff*Isospec!J27*ETiw*(1/24)*EFiw*(1/365)),".")</f>
        <v>0.65455348278083858</v>
      </c>
      <c r="G28" s="5">
        <f>IFERROR((DL)/(Doses!O26*GSFb*Fin*Fi*Fam*Foff*Isospec!K27*ETiw*(1/24)*EFiw*(1/365)),".")</f>
        <v>4.6576705868542971</v>
      </c>
      <c r="H28" s="2">
        <f t="shared" ref="H28:L28" si="23">IFERROR(C28/_1_bq,".")</f>
        <v>6.9519056573091223E-2</v>
      </c>
      <c r="I28" s="3">
        <f t="shared" si="23"/>
        <v>0.35971617690801516</v>
      </c>
      <c r="J28" s="3">
        <f t="shared" si="23"/>
        <v>6.6579982688294945E-2</v>
      </c>
      <c r="K28" s="3">
        <f t="shared" si="23"/>
        <v>2.4218478862891052E-2</v>
      </c>
      <c r="L28" s="5">
        <f t="shared" si="23"/>
        <v>0.17233381171360918</v>
      </c>
      <c r="M28" s="2">
        <f>IFERROR(C28*Isospec!C27*Isospec!F27*SSLgram,".")</f>
        <v>8.8428390272445601E-6</v>
      </c>
      <c r="N28" s="3">
        <f>IFERROR(D28*Isospec!C27*Isospec!F27*SSLcm_m,".")</f>
        <v>4.5755975479170169E-8</v>
      </c>
      <c r="O28" s="3">
        <f>IFERROR(E28*Isospec!C27*Isospec!F27*SSLgram,".")</f>
        <v>8.4689881936230414E-6</v>
      </c>
      <c r="P28" s="3">
        <f>IFERROR(F28*Isospec!C27*Isospec!F27*SSLgram,".")</f>
        <v>3.0805957477876006E-6</v>
      </c>
      <c r="Q28" s="5">
        <f>IFERROR(G28*Isospec!C27*Isospec!F27*SSLgram,".")</f>
        <v>2.1920898111335759E-5</v>
      </c>
      <c r="R28" s="67">
        <f t="shared" ref="R28:R31" si="24">IF(D28&lt;&gt;".",D28*2.22*100,".")</f>
        <v>2158.2970614480887</v>
      </c>
    </row>
    <row r="29" spans="1:18">
      <c r="A29" s="87" t="s">
        <v>40</v>
      </c>
      <c r="B29" s="90" t="s">
        <v>59</v>
      </c>
      <c r="C29" s="2">
        <f>IFERROR((DL)/(Doses!I27*GSFb*Fin*Fi*Fam*Foff*Isospec!H28*ETiw*(1/24)*EFiw*(1/365)),".")</f>
        <v>102634.13805731834</v>
      </c>
      <c r="D29" s="3">
        <f>IFERROR((DL)/(Doses!L27*GSFb*Fin*Fi*Fam*Foff*Isospec!G28*ETiw*(1/24)*EFiw*(1/365)),".")</f>
        <v>18672.34915171703</v>
      </c>
      <c r="E29" s="3">
        <f>IFERROR((DL)/(Doses!M27*GSFb*Fin*Fi*Fam*Foff*Isospec!I28*ETiw*(1/24)*EFiw*(1/365)),".")</f>
        <v>44180.882032650981</v>
      </c>
      <c r="F29" s="3">
        <f>IFERROR((DL)/(Doses!N27*GSFb*Fin*Fi*Fam*Foff*Isospec!J28*ETiw*(1/24)*EFiw*(1/365)),".")</f>
        <v>32535.190798090887</v>
      </c>
      <c r="G29" s="5">
        <f>IFERROR((DL)/(Doses!O27*GSFb*Fin*Fi*Fam*Foff*Isospec!K28*ETiw*(1/24)*EFiw*(1/365)),".")</f>
        <v>148641.83795009577</v>
      </c>
      <c r="H29" s="2">
        <f t="shared" ref="H29:L32" si="25">IFERROR(C29/_1_bq,".")</f>
        <v>3797.4631081207826</v>
      </c>
      <c r="I29" s="3">
        <f t="shared" si="25"/>
        <v>690.87691861353085</v>
      </c>
      <c r="J29" s="3">
        <f t="shared" si="25"/>
        <v>1634.6926352080879</v>
      </c>
      <c r="K29" s="3">
        <f t="shared" si="25"/>
        <v>1203.802059529364</v>
      </c>
      <c r="L29" s="5">
        <f t="shared" si="25"/>
        <v>5499.7480041535491</v>
      </c>
      <c r="M29" s="2">
        <f>IFERROR(C29*Isospec!C28*Isospec!F28*SSLgram,".")</f>
        <v>4.7305433312811614E-10</v>
      </c>
      <c r="N29" s="3">
        <f>IFERROR(D29*Isospec!C28*Isospec!F28*SSLcm_m,".")</f>
        <v>8.6063329834443953E-14</v>
      </c>
      <c r="O29" s="3">
        <f>IFERROR(E29*Isospec!C28*Isospec!F28*SSLgram,".")</f>
        <v>2.036355357249225E-10</v>
      </c>
      <c r="P29" s="3">
        <f>IFERROR(F29*Isospec!C28*Isospec!F28*SSLgram,".")</f>
        <v>1.4995900270133808E-10</v>
      </c>
      <c r="Q29" s="5">
        <f>IFERROR(G29*Isospec!C28*Isospec!F28*SSLgram,".")</f>
        <v>6.8510991427774927E-10</v>
      </c>
      <c r="R29" s="67">
        <f t="shared" si="24"/>
        <v>4145261.5116811809</v>
      </c>
    </row>
    <row r="30" spans="1:18">
      <c r="A30" s="87" t="s">
        <v>41</v>
      </c>
      <c r="B30" s="12" t="s">
        <v>59</v>
      </c>
      <c r="C30" s="2">
        <f>IFERROR((DL)/(Doses!I28*GSFb*Fin*Fi*Fam*Foff*Isospec!H29*ETiw*(1/24)*EFiw*(1/365)),".")</f>
        <v>5.549137467272125E-2</v>
      </c>
      <c r="D30" s="3">
        <f>IFERROR((DL)/(Doses!L28*GSFb*Fin*Fi*Fam*Foff*Isospec!G29*ETiw*(1/24)*EFiw*(1/365)),".")</f>
        <v>0.30916629096930487</v>
      </c>
      <c r="E30" s="3">
        <f>IFERROR((DL)/(Doses!M28*GSFb*Fin*Fi*Fam*Foff*Isospec!I29*ETiw*(1/24)*EFiw*(1/365)),".")</f>
        <v>0.1185579283693607</v>
      </c>
      <c r="F30" s="3">
        <f>IFERROR((DL)/(Doses!N28*GSFb*Fin*Fi*Fam*Foff*Isospec!J29*ETiw*(1/24)*EFiw*(1/365)),".")</f>
        <v>3.5389718088003605E-2</v>
      </c>
      <c r="G30" s="5">
        <f>IFERROR((DL)/(Doses!O28*GSFb*Fin*Fi*Fam*Foff*Isospec!K29*ETiw*(1/24)*EFiw*(1/365)),".")</f>
        <v>3.5534511375414655E-2</v>
      </c>
      <c r="H30" s="2">
        <f t="shared" si="25"/>
        <v>2.0531808628906885E-3</v>
      </c>
      <c r="I30" s="3">
        <f t="shared" si="25"/>
        <v>1.1439152765864291E-2</v>
      </c>
      <c r="J30" s="3">
        <f t="shared" si="25"/>
        <v>4.3866433496663505E-3</v>
      </c>
      <c r="K30" s="3">
        <f t="shared" si="25"/>
        <v>1.3094195692561347E-3</v>
      </c>
      <c r="L30" s="5">
        <f t="shared" si="25"/>
        <v>1.3147769208903435E-3</v>
      </c>
      <c r="M30" s="2">
        <f>IFERROR(C30*Isospec!C29*Isospec!F29*SSLgram,".")</f>
        <v>1.3351473908441284E-16</v>
      </c>
      <c r="N30" s="3">
        <f>IFERROR(D30*Isospec!C29*Isospec!F29*SSLcm_m,".")</f>
        <v>7.4386797796801016E-19</v>
      </c>
      <c r="O30" s="3">
        <f>IFERROR(E30*Isospec!C29*Isospec!F29*SSLgram,".")</f>
        <v>2.8525569903398195E-16</v>
      </c>
      <c r="P30" s="3">
        <f>IFERROR(F30*Isospec!C29*Isospec!F29*SSLgram,".")</f>
        <v>8.5149250755784436E-17</v>
      </c>
      <c r="Q30" s="5">
        <f>IFERROR(G30*Isospec!C29*Isospec!F29*SSLgram,".")</f>
        <v>8.549762990666828E-17</v>
      </c>
      <c r="R30" s="67">
        <f t="shared" si="24"/>
        <v>68.634916595185686</v>
      </c>
    </row>
    <row r="31" spans="1:18">
      <c r="A31" s="87" t="s">
        <v>42</v>
      </c>
      <c r="B31" s="90" t="s">
        <v>59</v>
      </c>
      <c r="C31" s="2">
        <f>IFERROR((DL)/(Doses!I29*GSFb*Fin*Fi*Fam*Foff*Isospec!H30*ETiw*(1/24)*EFiw*(1/365)),".")</f>
        <v>3.5774225181647475E-2</v>
      </c>
      <c r="D31" s="3">
        <f>IFERROR((DL)/(Doses!L29*GSFb*Fin*Fi*Fam*Foff*Isospec!G30*ETiw*(1/24)*EFiw*(1/365)),".")</f>
        <v>0.23518689929597628</v>
      </c>
      <c r="E31" s="3">
        <f>IFERROR((DL)/(Doses!M29*GSFb*Fin*Fi*Fam*Foff*Isospec!I30*ETiw*(1/24)*EFiw*(1/365)),".")</f>
        <v>8.0332878943335559E-2</v>
      </c>
      <c r="F31" s="3">
        <f>IFERROR((DL)/(Doses!N29*GSFb*Fin*Fi*Fam*Foff*Isospec!J30*ETiw*(1/24)*EFiw*(1/365)),".")</f>
        <v>2.1194861230187014E-2</v>
      </c>
      <c r="G31" s="5">
        <f>IFERROR((DL)/(Doses!O29*GSFb*Fin*Fi*Fam*Foff*Isospec!K30*ETiw*(1/24)*EFiw*(1/365)),".")</f>
        <v>2.1526563904470858E-2</v>
      </c>
      <c r="H31" s="2">
        <f t="shared" si="25"/>
        <v>1.3236463317209579E-3</v>
      </c>
      <c r="I31" s="3">
        <f t="shared" si="25"/>
        <v>8.7019152739511302E-3</v>
      </c>
      <c r="J31" s="3">
        <f t="shared" si="25"/>
        <v>2.9723165209034185E-3</v>
      </c>
      <c r="K31" s="3">
        <f t="shared" si="25"/>
        <v>7.842098655169203E-4</v>
      </c>
      <c r="L31" s="5">
        <f t="shared" si="25"/>
        <v>7.9648286446542258E-4</v>
      </c>
      <c r="M31" s="2">
        <f>IFERROR(C31*Isospec!C30*Isospec!F30*SSLgram,".")</f>
        <v>5.2027811508468246E-17</v>
      </c>
      <c r="N31" s="3">
        <f>IFERROR(D31*Isospec!C30*Isospec!F30*SSLcm_m,".")</f>
        <v>3.4204122112222515E-19</v>
      </c>
      <c r="O31" s="3">
        <f>IFERROR(E31*Isospec!C30*Isospec!F30*SSLgram,".")</f>
        <v>1.1683115042672137E-16</v>
      </c>
      <c r="P31" s="3">
        <f>IFERROR(F31*Isospec!C30*Isospec!F30*SSLgram,".")</f>
        <v>3.0824489962623111E-17</v>
      </c>
      <c r="Q31" s="5">
        <f>IFERROR(G31*Isospec!C30*Isospec!F30*SSLgram,".")</f>
        <v>3.1306897733213983E-17</v>
      </c>
      <c r="R31" s="67">
        <f t="shared" si="24"/>
        <v>52.211491643706744</v>
      </c>
    </row>
    <row r="32" spans="1:18">
      <c r="A32" s="87" t="s">
        <v>25</v>
      </c>
      <c r="B32" s="12" t="s">
        <v>59</v>
      </c>
      <c r="C32" s="2">
        <f>IFERROR((DL)/(Doses!I30*GSFb*Fin*Fi*Fam*Foff*Isospec!H31*ETiw*(1/24)*EFiw*(1/365)),".")</f>
        <v>3761.8187535673719</v>
      </c>
      <c r="D32" s="3">
        <f>IFERROR((DL)/(Doses!L30*GSFb*Fin*Fi*Fam*Foff*Isospec!G31*ETiw*(1/24)*EFiw*(1/365)),".")</f>
        <v>35874.130295576215</v>
      </c>
      <c r="E32" s="3">
        <f>IFERROR((DL)/(Doses!M30*GSFb*Fin*Fi*Fam*Foff*Isospec!I31*ETiw*(1/24)*EFiw*(1/365)),".")</f>
        <v>9208.7622974617589</v>
      </c>
      <c r="F32" s="3">
        <f>IFERROR((DL)/(Doses!N30*GSFb*Fin*Fi*Fam*Foff*Isospec!J31*ETiw*(1/24)*EFiw*(1/365)),".")</f>
        <v>3380.6645984244228</v>
      </c>
      <c r="G32" s="5">
        <f>IFERROR((DL)/(Doses!O30*GSFb*Fin*Fi*Fam*Foff*Isospec!K31*ETiw*(1/24)*EFiw*(1/365)),".")</f>
        <v>30659.847179098491</v>
      </c>
      <c r="H32" s="2">
        <f t="shared" si="25"/>
        <v>139.1872938819929</v>
      </c>
      <c r="I32" s="3">
        <f t="shared" si="25"/>
        <v>1327.3428209363212</v>
      </c>
      <c r="J32" s="3">
        <f t="shared" si="25"/>
        <v>340.72420500608541</v>
      </c>
      <c r="K32" s="3">
        <f t="shared" si="25"/>
        <v>125.08459014170377</v>
      </c>
      <c r="L32" s="5">
        <f t="shared" si="25"/>
        <v>1134.4143456266454</v>
      </c>
      <c r="M32" s="2">
        <f>IFERROR(C32*Isospec!C31*Isospec!F31*SSLgram,".")</f>
        <v>0.3907103203285146</v>
      </c>
      <c r="N32" s="3">
        <f>IFERROR(D32*Isospec!C31*Isospec!F31*SSLcm_m,".")</f>
        <v>3.7259617906895606E-3</v>
      </c>
      <c r="O32" s="3">
        <f>IFERROR(E32*Isospec!C31*Isospec!F31*SSLgram,".")</f>
        <v>0.95644120643995689</v>
      </c>
      <c r="P32" s="3">
        <f>IFERROR(F32*Isospec!C31*Isospec!F31*SSLgram,".")</f>
        <v>0.35112285697472523</v>
      </c>
      <c r="Q32" s="5">
        <f>IFERROR(G32*Isospec!C31*Isospec!F31*SSLgram,".")</f>
        <v>3.1843955005033013</v>
      </c>
      <c r="R32" s="67">
        <f t="shared" ref="R32" si="26">IF(D32&lt;&gt;".",D32*2.22*100,".")</f>
        <v>7964056.9256179212</v>
      </c>
    </row>
    <row r="33" spans="1:18">
      <c r="A33" s="30" t="s">
        <v>14</v>
      </c>
      <c r="B33" s="30" t="s">
        <v>59</v>
      </c>
      <c r="C33" s="76">
        <f>IFERROR(1/SUM(1/C34,1/C35,1/C36,1/C37,1/C38,1/C39,1/C40,1/C41,1/C42,1/C43,1/C44,1/C45),0)</f>
        <v>0.40667046498317178</v>
      </c>
      <c r="D33" s="77">
        <f t="shared" ref="D33:G33" si="27">IFERROR(1/SUM(1/D34,1/D35,1/D36,1/D37,1/D38,1/D39,1/D40,1/D41,1/D42,1/D43,1/D44,1/D45),0)</f>
        <v>2.2437900859090214</v>
      </c>
      <c r="E33" s="77">
        <f t="shared" si="27"/>
        <v>0.53935213974331309</v>
      </c>
      <c r="F33" s="77">
        <f t="shared" si="27"/>
        <v>0.17137693538700433</v>
      </c>
      <c r="G33" s="77">
        <f t="shared" si="27"/>
        <v>0.52118636590290279</v>
      </c>
      <c r="H33" s="76">
        <f>IFERROR(1/SUM(1/H34,1/H35,1/H36,1/H37,1/H38,1/H39,1/H40,1/H41,1/H42,1/H43,1/H44,1/H45),0)</f>
        <v>1.5046807204377373E-2</v>
      </c>
      <c r="I33" s="77">
        <f t="shared" ref="I33:L33" si="28">IFERROR(1/SUM(1/I34,1/I35,1/I36,1/I37,1/I38,1/I39,1/I40,1/I41,1/I42,1/I43,1/I44,1/I45),0)</f>
        <v>8.3020233178633857E-2</v>
      </c>
      <c r="J33" s="77">
        <f t="shared" si="28"/>
        <v>1.9956029170502598E-2</v>
      </c>
      <c r="K33" s="77">
        <f t="shared" si="28"/>
        <v>6.3409466093191647E-3</v>
      </c>
      <c r="L33" s="77">
        <f t="shared" si="28"/>
        <v>1.9283895538407425E-2</v>
      </c>
      <c r="M33" s="20">
        <f>IFERROR(C33*VLOOKUP("Am-241",Isospec!$A$3:$R$31,3)*VLOOKUP("Am-241",Isospec!$A$3:$R$31,6)*SSLgram,".")</f>
        <v>1.1860485550687247E-7</v>
      </c>
      <c r="N33" s="19">
        <f>IFERROR(D33*VLOOKUP("Am-241",Isospec!$A$3:$R$31,3)*VLOOKUP("Am-241",Isospec!$A$3:$R$31,6)*SSLcm_m,".")</f>
        <v>6.5439814749764244E-10</v>
      </c>
      <c r="O33" s="19">
        <f>IFERROR(E33*VLOOKUP("Am-241",Isospec!$A$3:$R$31,3)*VLOOKUP("Am-241",Isospec!$A$3:$R$31,6)*SSLgram,".")</f>
        <v>1.5730127488905603E-7</v>
      </c>
      <c r="P33" s="19">
        <f>IFERROR(F33*VLOOKUP("Am-241",Isospec!$A$3:$R$31,3)*VLOOKUP("Am-241",Isospec!$A$3:$R$31,6)*SSLgram,".")</f>
        <v>4.9981836422832843E-8</v>
      </c>
      <c r="Q33" s="21">
        <f>IFERROR(G33*VLOOKUP("Am-241",Isospec!$A$3:$R$31,3)*VLOOKUP("Am-241",Isospec!$A$3:$R$31,6)*SSLgram,".")</f>
        <v>1.5200325310721468E-7</v>
      </c>
      <c r="R33" s="94">
        <f t="shared" ref="R33:R63" si="29">IF(D33&lt;&gt;".",D33*2.22*100,".")</f>
        <v>498.12139907180278</v>
      </c>
    </row>
    <row r="34" spans="1:18">
      <c r="A34" s="31" t="s">
        <v>175</v>
      </c>
      <c r="B34" s="32">
        <v>1</v>
      </c>
      <c r="C34" s="70">
        <f>IFERROR(VLOOKUP("Am-241",$A$4:$L$32,3)/$B34,0)</f>
        <v>97.671966272002791</v>
      </c>
      <c r="D34" s="71">
        <f>IFERROR(VLOOKUP("Am-241",$A$4:$L$32,4)/$B34,0)</f>
        <v>69.939991757904949</v>
      </c>
      <c r="E34" s="71">
        <f>IFERROR(VLOOKUP("Am-241",$A$4:$L$32,5)/$B34,0)</f>
        <v>63.51979101901356</v>
      </c>
      <c r="F34" s="71">
        <f>IFERROR(VLOOKUP("Am-241",$A$4:$L$32,6)/$B34,0)</f>
        <v>17.599859192917059</v>
      </c>
      <c r="G34" s="71">
        <f>IFERROR(VLOOKUP("Am-241",$A$4:$L$32,7)/$B34,0)</f>
        <v>95.149451620974844</v>
      </c>
      <c r="H34" s="70">
        <f>IFERROR(VLOOKUP("Am-241",$A$4:$L$32,8)/$B34,0)</f>
        <v>3.6138627520641071</v>
      </c>
      <c r="I34" s="71">
        <f>IFERROR(VLOOKUP("Am-241",$A$4:$L$32,9)/$B34,0)</f>
        <v>2.5877796950424856</v>
      </c>
      <c r="J34" s="71">
        <f>IFERROR(VLOOKUP("Am-241",$A$4:$L$32,10)/$B34,0)</f>
        <v>2.3502322677035039</v>
      </c>
      <c r="K34" s="71">
        <f>IFERROR(VLOOKUP("Am-241",$A$4:$L$32,11)/$B34,0)</f>
        <v>0.6511947901379318</v>
      </c>
      <c r="L34" s="71">
        <f>IFERROR(VLOOKUP("Am-241",$A$4:$L$32,12)/$B34,0)</f>
        <v>3.5205297099760728</v>
      </c>
      <c r="M34" s="70">
        <f>IFERROR(VLOOKUP("Am-241",$A$4:$R$32,13)/$B34,0)</f>
        <v>2.8485888315598183E-5</v>
      </c>
      <c r="N34" s="71">
        <f>IFERROR(VLOOKUP("Am-241",$A$4:$R$32,14)/$B34,0)</f>
        <v>2.0397897882604849E-8</v>
      </c>
      <c r="O34" s="71">
        <f>IFERROR(VLOOKUP("Am-241",$A$4:$R$32,15)/$B34,0)</f>
        <v>1.8525455582196235E-5</v>
      </c>
      <c r="P34" s="71">
        <f>IFERROR(VLOOKUP("Am-241",$A$4:$R$32,16)/$B34,0)</f>
        <v>5.1329735898170222E-6</v>
      </c>
      <c r="Q34" s="71">
        <f>IFERROR(VLOOKUP("Am-241",$A$4:$R$32,17)/$B34,0)</f>
        <v>2.7750200550046978E-5</v>
      </c>
      <c r="R34" s="95">
        <f t="shared" si="29"/>
        <v>15526.6781702549</v>
      </c>
    </row>
    <row r="35" spans="1:18">
      <c r="A35" s="31" t="s">
        <v>176</v>
      </c>
      <c r="B35" s="32">
        <v>1</v>
      </c>
      <c r="C35" s="70">
        <f>IFERROR(VLOOKUP("Np-237",$A$4:$L$32,3)/$B35,0)</f>
        <v>11.575489692772351</v>
      </c>
      <c r="D35" s="71">
        <f>IFERROR(VLOOKUP("Np-237",$A$4:$L$32,4)/$B35,0)</f>
        <v>56.212070018557903</v>
      </c>
      <c r="E35" s="71">
        <f>IFERROR(VLOOKUP("Np-237",$A$4:$L$32,5)/$B35,0)</f>
        <v>11.597789473951826</v>
      </c>
      <c r="F35" s="71">
        <f>IFERROR(VLOOKUP("Np-237",$A$4:$L$32,6)/$B35,0)</f>
        <v>3.9758244212397891</v>
      </c>
      <c r="G35" s="71">
        <f>IFERROR(VLOOKUP("Np-237",$A$4:$L$32,7)/$B35,0)</f>
        <v>33.485749086266189</v>
      </c>
      <c r="H35" s="70">
        <f>IFERROR(VLOOKUP("Np-237",$A$4:$L$32,8)/$B35,0)</f>
        <v>0.42829311863257741</v>
      </c>
      <c r="I35" s="71">
        <f>IFERROR(VLOOKUP("Np-237",$A$4:$L$32,9)/$B35,0)</f>
        <v>2.0798465906866443</v>
      </c>
      <c r="J35" s="71">
        <f>IFERROR(VLOOKUP("Np-237",$A$4:$L$32,10)/$B35,0)</f>
        <v>0.42911821053621801</v>
      </c>
      <c r="K35" s="71">
        <f>IFERROR(VLOOKUP("Np-237",$A$4:$L$32,11)/$B35,0)</f>
        <v>0.14710550358587235</v>
      </c>
      <c r="L35" s="71">
        <f>IFERROR(VLOOKUP("Np-237",$A$4:$L$32,12)/$B35,0)</f>
        <v>1.2389727161918502</v>
      </c>
      <c r="M35" s="70">
        <f>IFERROR(VLOOKUP("Np-237",$A$4:$R$32,13)/$B35,0)</f>
        <v>1.6469125194505281E-2</v>
      </c>
      <c r="N35" s="71">
        <f>IFERROR(VLOOKUP("Np-237",$A$4:$R$32,14)/$B35,0)</f>
        <v>7.9976194800291411E-5</v>
      </c>
      <c r="O35" s="71">
        <f>IFERROR(VLOOKUP("Np-237",$A$4:$R$32,15)/$B35,0)</f>
        <v>1.6500852395496542E-2</v>
      </c>
      <c r="P35" s="71">
        <f>IFERROR(VLOOKUP("Np-237",$A$4:$R$32,16)/$B35,0)</f>
        <v>5.656637592244048E-3</v>
      </c>
      <c r="Q35" s="71">
        <f>IFERROR(VLOOKUP("Np-237",$A$4:$R$32,17)/$B35,0)</f>
        <v>4.7642130792777543E-2</v>
      </c>
      <c r="R35" s="95">
        <f t="shared" si="29"/>
        <v>12479.079544119855</v>
      </c>
    </row>
    <row r="36" spans="1:18">
      <c r="A36" s="31" t="s">
        <v>177</v>
      </c>
      <c r="B36" s="32">
        <v>1</v>
      </c>
      <c r="C36" s="70">
        <f>IFERROR(VLOOKUP("Pa-233",$A$4:$L$32,3)/$B36,0)</f>
        <v>0.77375278216493748</v>
      </c>
      <c r="D36" s="71">
        <f>IFERROR(VLOOKUP("Pa-233",$A$4:$L$32,4)/$B36,0)</f>
        <v>4.8500002970387266</v>
      </c>
      <c r="E36" s="71">
        <f>IFERROR(VLOOKUP("Pa-233",$A$4:$L$32,5)/$B36,0)</f>
        <v>1.0825273982967094</v>
      </c>
      <c r="F36" s="71">
        <f>IFERROR(VLOOKUP("Pa-233",$A$4:$L$32,6)/$B36,0)</f>
        <v>0.31961303582058026</v>
      </c>
      <c r="G36" s="71">
        <f>IFERROR(VLOOKUP("Pa-233",$A$4:$L$32,7)/$B36,0)</f>
        <v>1.1948813205515563</v>
      </c>
      <c r="H36" s="70">
        <f>IFERROR(VLOOKUP("Pa-233",$A$4:$L$32,8)/$B36,0)</f>
        <v>2.8628852940102714E-2</v>
      </c>
      <c r="I36" s="71">
        <f>IFERROR(VLOOKUP("Pa-233",$A$4:$L$32,9)/$B36,0)</f>
        <v>0.17945001099043306</v>
      </c>
      <c r="J36" s="71">
        <f>IFERROR(VLOOKUP("Pa-233",$A$4:$L$32,10)/$B36,0)</f>
        <v>4.005351373697829E-2</v>
      </c>
      <c r="K36" s="71">
        <f>IFERROR(VLOOKUP("Pa-233",$A$4:$L$32,11)/$B36,0)</f>
        <v>1.1825682325361481E-2</v>
      </c>
      <c r="L36" s="71">
        <f>IFERROR(VLOOKUP("Pa-233",$A$4:$L$32,12)/$B36,0)</f>
        <v>4.4210608860407626E-2</v>
      </c>
      <c r="M36" s="70">
        <f>IFERROR(VLOOKUP("Pa-233",$A$4:$R$32,13)/$B36,0)</f>
        <v>3.7295458161318274E-11</v>
      </c>
      <c r="N36" s="71">
        <f>IFERROR(VLOOKUP("Pa-233",$A$4:$R$32,14)/$B36,0)</f>
        <v>2.3377361261885717E-13</v>
      </c>
      <c r="O36" s="71">
        <f>IFERROR(VLOOKUP("Pa-233",$A$4:$R$32,15)/$B36,0)</f>
        <v>5.2178623744256125E-11</v>
      </c>
      <c r="P36" s="71">
        <f>IFERROR(VLOOKUP("Pa-233",$A$4:$R$32,16)/$B36,0)</f>
        <v>1.5405585453155E-11</v>
      </c>
      <c r="Q36" s="71">
        <f>IFERROR(VLOOKUP("Pa-233",$A$4:$R$32,17)/$B36,0)</f>
        <v>5.7594166154315499E-11</v>
      </c>
      <c r="R36" s="95">
        <f t="shared" si="29"/>
        <v>1076.7000659425976</v>
      </c>
    </row>
    <row r="37" spans="1:18">
      <c r="A37" s="31" t="s">
        <v>178</v>
      </c>
      <c r="B37" s="32">
        <v>1</v>
      </c>
      <c r="C37" s="70">
        <f>IFERROR(VLOOKUP("U-233",$A$4:$L$32,3)/$B37,0)</f>
        <v>3761.8187535673719</v>
      </c>
      <c r="D37" s="71">
        <f>IFERROR(VLOOKUP("U-233",$A$4:$L$32,4)/$B37,0)</f>
        <v>35874.130295576215</v>
      </c>
      <c r="E37" s="71">
        <f>IFERROR(VLOOKUP("U-233",$A$4:$L$32,5)/$B37,0)</f>
        <v>9208.7622974617589</v>
      </c>
      <c r="F37" s="71">
        <f>IFERROR(VLOOKUP("U-233",$A$4:$L$32,6)/$B37,0)</f>
        <v>3380.6645984244228</v>
      </c>
      <c r="G37" s="71">
        <f>IFERROR(VLOOKUP("U-233",$A$4:$L$32,7)/$B37,0)</f>
        <v>30659.847179098491</v>
      </c>
      <c r="H37" s="70">
        <f>IFERROR(VLOOKUP("U-233",$A$4:$L$32,8)/$B37,0)</f>
        <v>139.1872938819929</v>
      </c>
      <c r="I37" s="71">
        <f>IFERROR(VLOOKUP("U-233",$A$4:$L$32,9)/$B37,0)</f>
        <v>1327.3428209363212</v>
      </c>
      <c r="J37" s="71">
        <f>IFERROR(VLOOKUP("U-233",$A$4:$L$32,10)/$B37,0)</f>
        <v>340.72420500608541</v>
      </c>
      <c r="K37" s="71">
        <f>IFERROR(VLOOKUP("U-233",$A$4:$L$32,11)/$B37,0)</f>
        <v>125.08459014170377</v>
      </c>
      <c r="L37" s="71">
        <f>IFERROR(VLOOKUP("U-233",$A$4:$L$32,12)/$B37,0)</f>
        <v>1134.4143456266454</v>
      </c>
      <c r="M37" s="70">
        <f>IFERROR(VLOOKUP("U-233",$A$4:$R$32,13)/$B37,0)</f>
        <v>0.3907103203285146</v>
      </c>
      <c r="N37" s="71">
        <f>IFERROR(VLOOKUP("U-233",$A$4:$R$32,14)/$B37,0)</f>
        <v>3.7259617906895606E-3</v>
      </c>
      <c r="O37" s="71">
        <f>IFERROR(VLOOKUP("U-233",$A$4:$R$32,15)/$B37,0)</f>
        <v>0.95644120643995689</v>
      </c>
      <c r="P37" s="71">
        <f>IFERROR(VLOOKUP("U-233",$A$4:$R$32,16)/$B37,0)</f>
        <v>0.35112285697472523</v>
      </c>
      <c r="Q37" s="71">
        <f>IFERROR(VLOOKUP("U-233",$A$4:$R$32,17)/$B37,0)</f>
        <v>3.1843955005033013</v>
      </c>
      <c r="R37" s="95">
        <f t="shared" si="29"/>
        <v>7964056.9256179212</v>
      </c>
    </row>
    <row r="38" spans="1:18">
      <c r="A38" s="31" t="s">
        <v>179</v>
      </c>
      <c r="B38" s="32">
        <v>1</v>
      </c>
      <c r="C38" s="70">
        <f>IFERROR(VLOOKUP("Th-229",$A$4:$L$32,3)/$B38,0)</f>
        <v>1.8788934208943553</v>
      </c>
      <c r="D38" s="71">
        <f>IFERROR(VLOOKUP("Th-229",$A$4:$L$32,4)/$B38,0)</f>
        <v>9.722058835351751</v>
      </c>
      <c r="E38" s="71">
        <f>IFERROR(VLOOKUP("Th-229",$A$4:$L$32,5)/$B38,0)</f>
        <v>1.7994589915755372</v>
      </c>
      <c r="F38" s="71">
        <f>IFERROR(VLOOKUP("Th-229",$A$4:$L$32,6)/$B38,0)</f>
        <v>0.65455348278083858</v>
      </c>
      <c r="G38" s="71">
        <f>IFERROR(VLOOKUP("Th-229",$A$4:$L$32,7)/$B38,0)</f>
        <v>4.6576705868542971</v>
      </c>
      <c r="H38" s="70">
        <f>IFERROR(VLOOKUP("Th-229",$A$4:$L$32,8)/$B38,0)</f>
        <v>6.9519056573091223E-2</v>
      </c>
      <c r="I38" s="71">
        <f>IFERROR(VLOOKUP("Th-229",$A$4:$L$32,9)/$B38,0)</f>
        <v>0.35971617690801516</v>
      </c>
      <c r="J38" s="71">
        <f>IFERROR(VLOOKUP("Th-229",$A$4:$L$32,10)/$B38,0)</f>
        <v>6.6579982688294945E-2</v>
      </c>
      <c r="K38" s="71">
        <f>IFERROR(VLOOKUP("Th-229",$A$4:$L$32,11)/$B38,0)</f>
        <v>2.4218478862891052E-2</v>
      </c>
      <c r="L38" s="71">
        <f>IFERROR(VLOOKUP("Th-229",$A$4:$L$32,12)/$B38,0)</f>
        <v>0.17233381171360918</v>
      </c>
      <c r="M38" s="70">
        <f>IFERROR(VLOOKUP("Th-229",$A$4:$R$32,13)/$B38,0)</f>
        <v>8.8428390272445601E-6</v>
      </c>
      <c r="N38" s="71">
        <f>IFERROR(VLOOKUP("Th-229",$A$4:$R$32,14)/$B38,0)</f>
        <v>4.5755975479170169E-8</v>
      </c>
      <c r="O38" s="71">
        <f>IFERROR(VLOOKUP("Th-229",$A$4:$R$32,15)/$B38,0)</f>
        <v>8.4689881936230414E-6</v>
      </c>
      <c r="P38" s="71">
        <f>IFERROR(VLOOKUP("Th-229",$A$4:$R$32,16)/$B38,0)</f>
        <v>3.0805957477876006E-6</v>
      </c>
      <c r="Q38" s="71">
        <f>IFERROR(VLOOKUP("Th-229",$A$4:$R$32,17)/$B38,0)</f>
        <v>2.1920898111335759E-5</v>
      </c>
      <c r="R38" s="95">
        <f t="shared" si="29"/>
        <v>2158.2970614480887</v>
      </c>
    </row>
    <row r="39" spans="1:18">
      <c r="A39" s="31" t="s">
        <v>180</v>
      </c>
      <c r="B39" s="32">
        <v>1</v>
      </c>
      <c r="C39" s="70">
        <f>IFERROR(VLOOKUP("Ra-225",$A$4:$L$32,3)/$B39,0)</f>
        <v>161.79203695507775</v>
      </c>
      <c r="D39" s="71">
        <f>IFERROR(VLOOKUP("Ra-225",$A$4:$L$32,4)/$B39,0)</f>
        <v>279.25394082446917</v>
      </c>
      <c r="E39" s="71">
        <f>IFERROR(VLOOKUP("Ra-225",$A$4:$L$32,5)/$B39,0)</f>
        <v>112.77026604509986</v>
      </c>
      <c r="F39" s="71">
        <f>IFERROR(VLOOKUP("Ra-225",$A$4:$L$32,6)/$B39,0)</f>
        <v>67.842581161434751</v>
      </c>
      <c r="G39" s="71">
        <f>IFERROR(VLOOKUP("Ra-225",$A$4:$L$32,7)/$B39,0)</f>
        <v>594.74530998143575</v>
      </c>
      <c r="H39" s="70">
        <f>IFERROR(VLOOKUP("Ra-225",$A$4:$L$32,8)/$B39,0)</f>
        <v>5.9863053673378825</v>
      </c>
      <c r="I39" s="71">
        <f>IFERROR(VLOOKUP("Ra-225",$A$4:$L$32,9)/$B39,0)</f>
        <v>10.332395810505369</v>
      </c>
      <c r="J39" s="71">
        <f>IFERROR(VLOOKUP("Ra-225",$A$4:$L$32,10)/$B39,0)</f>
        <v>4.1724998436686986</v>
      </c>
      <c r="K39" s="71">
        <f>IFERROR(VLOOKUP("Ra-225",$A$4:$L$32,11)/$B39,0)</f>
        <v>2.5101755029730883</v>
      </c>
      <c r="L39" s="71">
        <f>IFERROR(VLOOKUP("Ra-225",$A$4:$L$32,12)/$B39,0)</f>
        <v>22.005576469313144</v>
      </c>
      <c r="M39" s="70">
        <f>IFERROR(VLOOKUP("Ra-225",$A$4:$R$32,13)/$B39,0)</f>
        <v>4.1609365778008435E-9</v>
      </c>
      <c r="N39" s="71">
        <f>IFERROR(VLOOKUP("Ra-225",$A$4:$R$32,14)/$B39,0)</f>
        <v>7.1817992945733716E-12</v>
      </c>
      <c r="O39" s="71">
        <f>IFERROR(VLOOKUP("Ra-225",$A$4:$R$32,15)/$B39,0)</f>
        <v>2.9002040749735551E-9</v>
      </c>
      <c r="P39" s="71">
        <f>IFERROR(VLOOKUP("Ra-225",$A$4:$R$32,16)/$B39,0)</f>
        <v>1.7447624914037948E-9</v>
      </c>
      <c r="Q39" s="71">
        <f>IFERROR(VLOOKUP("Ra-225",$A$4:$R$32,17)/$B39,0)</f>
        <v>1.5295545821358115E-8</v>
      </c>
      <c r="R39" s="95">
        <f t="shared" si="29"/>
        <v>61994.374863032157</v>
      </c>
    </row>
    <row r="40" spans="1:18">
      <c r="A40" s="31" t="s">
        <v>181</v>
      </c>
      <c r="B40" s="32">
        <v>1</v>
      </c>
      <c r="C40" s="70">
        <f>IFERROR(VLOOKUP("Ac-225",$A$4:$L$32,3)/$B40,0)</f>
        <v>45.239320301589338</v>
      </c>
      <c r="D40" s="71">
        <f>IFERROR(VLOOKUP("Ac-225",$A$4:$L$32,4)/$B40,0)</f>
        <v>281.79801640785013</v>
      </c>
      <c r="E40" s="71">
        <f>IFERROR(VLOOKUP("Ac-225",$A$4:$L$32,5)/$B40,0)</f>
        <v>45.067935874994518</v>
      </c>
      <c r="F40" s="71">
        <f>IFERROR(VLOOKUP("Ac-225",$A$4:$L$32,6)/$B40,0)</f>
        <v>16.555733283910008</v>
      </c>
      <c r="G40" s="71">
        <f>IFERROR(VLOOKUP("Ac-225",$A$4:$L$32,7)/$B40,0)</f>
        <v>122.78999002652273</v>
      </c>
      <c r="H40" s="70">
        <f>IFERROR(VLOOKUP("Ac-225",$A$4:$L$32,8)/$B40,0)</f>
        <v>1.6738548511588072</v>
      </c>
      <c r="I40" s="71">
        <f>IFERROR(VLOOKUP("Ac-225",$A$4:$L$32,9)/$B40,0)</f>
        <v>10.426526607090466</v>
      </c>
      <c r="J40" s="71">
        <f>IFERROR(VLOOKUP("Ac-225",$A$4:$L$32,10)/$B40,0)</f>
        <v>1.6675136273747988</v>
      </c>
      <c r="K40" s="71">
        <f>IFERROR(VLOOKUP("Ac-225",$A$4:$L$32,11)/$B40,0)</f>
        <v>0.61256213150467098</v>
      </c>
      <c r="L40" s="71">
        <f>IFERROR(VLOOKUP("Ac-225",$A$4:$L$32,12)/$B40,0)</f>
        <v>4.5432296309813456</v>
      </c>
      <c r="M40" s="70">
        <f>IFERROR(VLOOKUP("Ac-225",$A$4:$R$32,13)/$B40,0)</f>
        <v>7.8084306273977247E-10</v>
      </c>
      <c r="N40" s="71">
        <f>IFERROR(VLOOKUP("Ac-225",$A$4:$R$32,14)/$B40,0)</f>
        <v>4.8639109681355655E-12</v>
      </c>
      <c r="O40" s="71">
        <f>IFERROR(VLOOKUP("Ac-225",$A$4:$R$32,15)/$B40,0)</f>
        <v>7.778849205821084E-10</v>
      </c>
      <c r="P40" s="71">
        <f>IFERROR(VLOOKUP("Ac-225",$A$4:$R$32,16)/$B40,0)</f>
        <v>2.8575649229762891E-10</v>
      </c>
      <c r="Q40" s="71">
        <f>IFERROR(VLOOKUP("Ac-225",$A$4:$R$32,17)/$B40,0)</f>
        <v>2.119388868950971E-9</v>
      </c>
      <c r="R40" s="95">
        <f t="shared" si="29"/>
        <v>62559.159642542741</v>
      </c>
    </row>
    <row r="41" spans="1:18">
      <c r="A41" s="31" t="s">
        <v>182</v>
      </c>
      <c r="B41" s="32">
        <v>1</v>
      </c>
      <c r="C41" s="70">
        <f>IFERROR(VLOOKUP("Fr-221",$A$4:$L$32,3)/$B41,0)</f>
        <v>89.488555025905853</v>
      </c>
      <c r="D41" s="71">
        <f>IFERROR(VLOOKUP("Fr-221",$A$4:$L$32,4)/$B41,0)</f>
        <v>349.15669346758534</v>
      </c>
      <c r="E41" s="71">
        <f>IFERROR(VLOOKUP("Fr-221",$A$4:$L$32,5)/$B41,0)</f>
        <v>122.60041766684436</v>
      </c>
      <c r="F41" s="71">
        <f>IFERROR(VLOOKUP("Fr-221",$A$4:$L$32,6)/$B41,0)</f>
        <v>34.651666939360723</v>
      </c>
      <c r="G41" s="71">
        <f>IFERROR(VLOOKUP("Fr-221",$A$4:$L$32,7)/$B41,0)</f>
        <v>68.895509967240812</v>
      </c>
      <c r="H41" s="70">
        <f>IFERROR(VLOOKUP("Fr-221",$A$4:$L$32,8)/$B41,0)</f>
        <v>3.3110765359585201</v>
      </c>
      <c r="I41" s="71">
        <f>IFERROR(VLOOKUP("Fr-221",$A$4:$L$32,9)/$B41,0)</f>
        <v>12.918797658300671</v>
      </c>
      <c r="J41" s="71">
        <f>IFERROR(VLOOKUP("Fr-221",$A$4:$L$32,10)/$B41,0)</f>
        <v>4.536215453673246</v>
      </c>
      <c r="K41" s="71">
        <f>IFERROR(VLOOKUP("Fr-221",$A$4:$L$32,11)/$B41,0)</f>
        <v>1.2821116767563481</v>
      </c>
      <c r="L41" s="71">
        <f>IFERROR(VLOOKUP("Fr-221",$A$4:$L$32,12)/$B41,0)</f>
        <v>2.5491338687879126</v>
      </c>
      <c r="M41" s="70">
        <f>IFERROR(VLOOKUP("Fr-221",$A$4:$R$32,13)/$B41,0)</f>
        <v>5.1624816869320777E-13</v>
      </c>
      <c r="N41" s="71">
        <f>IFERROR(VLOOKUP("Fr-221",$A$4:$R$32,14)/$B41,0)</f>
        <v>2.0142408550170023E-15</v>
      </c>
      <c r="O41" s="71">
        <f>IFERROR(VLOOKUP("Fr-221",$A$4:$R$32,15)/$B41,0)</f>
        <v>7.072663211872006E-13</v>
      </c>
      <c r="P41" s="71">
        <f>IFERROR(VLOOKUP("Fr-221",$A$4:$R$32,16)/$B41,0)</f>
        <v>1.9990108896532451E-13</v>
      </c>
      <c r="Q41" s="71">
        <f>IFERROR(VLOOKUP("Fr-221",$A$4:$R$32,17)/$B41,0)</f>
        <v>3.974494933064507E-13</v>
      </c>
      <c r="R41" s="95">
        <f t="shared" si="29"/>
        <v>77512.785949803947</v>
      </c>
    </row>
    <row r="42" spans="1:18">
      <c r="A42" s="31" t="s">
        <v>183</v>
      </c>
      <c r="B42" s="32">
        <v>1</v>
      </c>
      <c r="C42" s="70">
        <f>IFERROR(VLOOKUP("At-217",$A$4:$L$32,3)/$B42,0)</f>
        <v>1445744.5462867166</v>
      </c>
      <c r="D42" s="71">
        <f>IFERROR(VLOOKUP("At-217",$A$4:$L$32,4)/$B42,0)</f>
        <v>6416516.2583153276</v>
      </c>
      <c r="E42" s="71">
        <f>IFERROR(VLOOKUP("At-217",$A$4:$L$32,5)/$B42,0)</f>
        <v>2050101.5650092601</v>
      </c>
      <c r="F42" s="71">
        <f>IFERROR(VLOOKUP("At-217",$A$4:$L$32,6)/$B42,0)</f>
        <v>672491.72160426376</v>
      </c>
      <c r="G42" s="71">
        <f>IFERROR(VLOOKUP("At-217",$A$4:$L$32,7)/$B42,0)</f>
        <v>997139.5858168453</v>
      </c>
      <c r="H42" s="70">
        <f>IFERROR(VLOOKUP("At-217",$A$4:$L$32,8)/$B42,0)</f>
        <v>53492.54821260857</v>
      </c>
      <c r="I42" s="71">
        <f>IFERROR(VLOOKUP("At-217",$A$4:$L$32,9)/$B42,0)</f>
        <v>237411.10155766737</v>
      </c>
      <c r="J42" s="71">
        <f>IFERROR(VLOOKUP("At-217",$A$4:$L$32,10)/$B42,0)</f>
        <v>75853.757905342703</v>
      </c>
      <c r="K42" s="71">
        <f>IFERROR(VLOOKUP("At-217",$A$4:$L$32,11)/$B42,0)</f>
        <v>24882.193699357784</v>
      </c>
      <c r="L42" s="71">
        <f>IFERROR(VLOOKUP("At-217",$A$4:$L$32,12)/$B42,0)</f>
        <v>36894.164675223314</v>
      </c>
      <c r="M42" s="70">
        <f>IFERROR(VLOOKUP("At-217",$A$4:$R$32,13)/$B42,0)</f>
        <v>8.9971558467336169E-13</v>
      </c>
      <c r="N42" s="71">
        <f>IFERROR(VLOOKUP("At-217",$A$4:$R$32,14)/$B42,0)</f>
        <v>3.9931256816730969E-15</v>
      </c>
      <c r="O42" s="71">
        <f>IFERROR(VLOOKUP("At-217",$A$4:$R$32,15)/$B42,0)</f>
        <v>1.2758189771073718E-12</v>
      </c>
      <c r="P42" s="71">
        <f>IFERROR(VLOOKUP("At-217",$A$4:$R$32,16)/$B42,0)</f>
        <v>4.1850497312627135E-13</v>
      </c>
      <c r="Q42" s="71">
        <f>IFERROR(VLOOKUP("At-217",$A$4:$R$32,17)/$B42,0)</f>
        <v>6.2053979574634859E-13</v>
      </c>
      <c r="R42" s="95">
        <f t="shared" si="29"/>
        <v>1424466609.3460028</v>
      </c>
    </row>
    <row r="43" spans="1:18">
      <c r="A43" s="31" t="s">
        <v>184</v>
      </c>
      <c r="B43" s="33">
        <v>0.99987999999999999</v>
      </c>
      <c r="C43" s="70">
        <f>IFERROR(VLOOKUP("Bi-213",$A$4:$L$32,3)/$B43,0)</f>
        <v>8.2359758068245448</v>
      </c>
      <c r="D43" s="71">
        <f>IFERROR(VLOOKUP("Bi-213",$A$4:$L$32,4)/$B43,0)</f>
        <v>37.136640957142561</v>
      </c>
      <c r="E43" s="71">
        <f>IFERROR(VLOOKUP("Bi-213",$A$4:$L$32,5)/$B43,0)</f>
        <v>17.532438718912683</v>
      </c>
      <c r="F43" s="71">
        <f>IFERROR(VLOOKUP("Bi-213",$A$4:$L$32,6)/$B43,0)</f>
        <v>5.7007523669101809</v>
      </c>
      <c r="G43" s="71">
        <f>IFERROR(VLOOKUP("Bi-213",$A$4:$L$32,7)/$B43,0)</f>
        <v>4.6672341877760823</v>
      </c>
      <c r="H43" s="70">
        <f>IFERROR(VLOOKUP("Bi-213",$A$4:$L$32,8)/$B43,0)</f>
        <v>0.30473110485250848</v>
      </c>
      <c r="I43" s="71">
        <f>IFERROR(VLOOKUP("Bi-213",$A$4:$L$32,9)/$B43,0)</f>
        <v>1.3740557154142763</v>
      </c>
      <c r="J43" s="71">
        <f>IFERROR(VLOOKUP("Bi-213",$A$4:$L$32,10)/$B43,0)</f>
        <v>0.64870023259977005</v>
      </c>
      <c r="K43" s="71">
        <f>IFERROR(VLOOKUP("Bi-213",$A$4:$L$32,11)/$B43,0)</f>
        <v>0.2109278375756769</v>
      </c>
      <c r="L43" s="71">
        <f>IFERROR(VLOOKUP("Bi-213",$A$4:$L$32,12)/$B43,0)</f>
        <v>0.17268766494771523</v>
      </c>
      <c r="M43" s="70">
        <f>IFERROR(VLOOKUP("Bi-213",$A$4:$R$32,13)/$B43,0)</f>
        <v>4.2605624224992427E-13</v>
      </c>
      <c r="N43" s="71">
        <f>IFERROR(VLOOKUP("Bi-213",$A$4:$R$32,14)/$B43,0)</f>
        <v>1.9211199822702284E-15</v>
      </c>
      <c r="O43" s="71">
        <f>IFERROR(VLOOKUP("Bi-213",$A$4:$R$32,15)/$B43,0)</f>
        <v>9.0697266884481855E-13</v>
      </c>
      <c r="P43" s="71">
        <f>IFERROR(VLOOKUP("Bi-213",$A$4:$R$32,16)/$B43,0)</f>
        <v>2.949062974942826E-13</v>
      </c>
      <c r="Q43" s="71">
        <f>IFERROR(VLOOKUP("Bi-213",$A$4:$R$32,17)/$B43,0)</f>
        <v>2.4144124586870792E-13</v>
      </c>
      <c r="R43" s="95">
        <f t="shared" si="29"/>
        <v>8244.3342924856497</v>
      </c>
    </row>
    <row r="44" spans="1:18">
      <c r="A44" s="31" t="s">
        <v>185</v>
      </c>
      <c r="B44" s="32">
        <v>0.97898250799999997</v>
      </c>
      <c r="C44" s="70">
        <f>IFERROR(VLOOKUP("Po-213",$A$4:$L$32,3)/$B44,0)</f>
        <v>172617069.19628644</v>
      </c>
      <c r="D44" s="71">
        <f>IFERROR(VLOOKUP("Po-213",$A$4:$L$32,4)/$B44,0)</f>
        <v>1342112399.642873</v>
      </c>
      <c r="E44" s="71">
        <f>IFERROR(VLOOKUP("Po-213",$A$4:$L$32,5)/$B44,0)</f>
        <v>446864718.12842911</v>
      </c>
      <c r="F44" s="71">
        <f>IFERROR(VLOOKUP("Po-213",$A$4:$L$32,6)/$B44,0)</f>
        <v>103387910.82206221</v>
      </c>
      <c r="G44" s="71">
        <f>IFERROR(VLOOKUP("Po-213",$A$4:$L$32,7)/$B44,0)</f>
        <v>96285897.320510283</v>
      </c>
      <c r="H44" s="70">
        <f>IFERROR(VLOOKUP("Po-213",$A$4:$L$32,8)/$B44,0)</f>
        <v>6386831.5602626046</v>
      </c>
      <c r="I44" s="71">
        <f>IFERROR(VLOOKUP("Po-213",$A$4:$L$32,9)/$B44,0)</f>
        <v>49658158.786786355</v>
      </c>
      <c r="J44" s="71">
        <f>IFERROR(VLOOKUP("Po-213",$A$4:$L$32,10)/$B44,0)</f>
        <v>16533994.570751894</v>
      </c>
      <c r="K44" s="71">
        <f>IFERROR(VLOOKUP("Po-213",$A$4:$L$32,11)/$B44,0)</f>
        <v>3825352.7004163056</v>
      </c>
      <c r="L44" s="71">
        <f>IFERROR(VLOOKUP("Po-213",$A$4:$L$32,12)/$B44,0)</f>
        <v>3562578.2008588836</v>
      </c>
      <c r="M44" s="70">
        <f>IFERROR(VLOOKUP("Po-213",$A$4:$R$32,13)/$B44,0)</f>
        <v>1.3710839811275679E-14</v>
      </c>
      <c r="N44" s="71">
        <f>IFERROR(VLOOKUP("Po-213",$A$4:$R$32,14)/$B44,0)</f>
        <v>1.0660294608122174E-16</v>
      </c>
      <c r="O44" s="71">
        <f>IFERROR(VLOOKUP("Po-213",$A$4:$R$32,15)/$B44,0)</f>
        <v>3.5494117679652736E-14</v>
      </c>
      <c r="P44" s="71">
        <f>IFERROR(VLOOKUP("Po-213",$A$4:$R$32,16)/$B44,0)</f>
        <v>8.212021501140432E-15</v>
      </c>
      <c r="Q44" s="71">
        <f>IFERROR(VLOOKUP("Po-213",$A$4:$R$32,17)/$B44,0)</f>
        <v>7.647914081690686E-15</v>
      </c>
      <c r="R44" s="95">
        <f t="shared" si="29"/>
        <v>297948952720.71783</v>
      </c>
    </row>
    <row r="45" spans="1:18">
      <c r="A45" s="31" t="s">
        <v>186</v>
      </c>
      <c r="B45" s="32">
        <v>2.0897492E-2</v>
      </c>
      <c r="C45" s="70">
        <f>IFERROR(VLOOKUP("Tl-209",$A$4:$L$32,3)/$B45,0)</f>
        <v>2.6554083462609412</v>
      </c>
      <c r="D45" s="71">
        <f>IFERROR(VLOOKUP("Tl-209",$A$4:$L$32,4)/$B45,0)</f>
        <v>14.794420831423448</v>
      </c>
      <c r="E45" s="71">
        <f>IFERROR(VLOOKUP("Tl-209",$A$4:$L$32,5)/$B45,0)</f>
        <v>5.6733089487178985</v>
      </c>
      <c r="F45" s="71">
        <f>IFERROR(VLOOKUP("Tl-209",$A$4:$L$32,6)/$B45,0)</f>
        <v>1.693491165734319</v>
      </c>
      <c r="G45" s="71">
        <f>IFERROR(VLOOKUP("Tl-209",$A$4:$L$32,7)/$B45,0)</f>
        <v>1.7004199056716784</v>
      </c>
      <c r="H45" s="70">
        <f>IFERROR(VLOOKUP("Tl-209",$A$4:$L$32,8)/$B45,0)</f>
        <v>9.825010881165494E-2</v>
      </c>
      <c r="I45" s="71">
        <f>IFERROR(VLOOKUP("Tl-209",$A$4:$L$32,9)/$B45,0)</f>
        <v>0.54739357076266815</v>
      </c>
      <c r="J45" s="71">
        <f>IFERROR(VLOOKUP("Tl-209",$A$4:$L$32,10)/$B45,0)</f>
        <v>0.20991243110256247</v>
      </c>
      <c r="K45" s="71">
        <f>IFERROR(VLOOKUP("Tl-209",$A$4:$L$32,11)/$B45,0)</f>
        <v>6.2659173132169857E-2</v>
      </c>
      <c r="L45" s="71">
        <f>IFERROR(VLOOKUP("Tl-209",$A$4:$L$32,12)/$B45,0)</f>
        <v>6.2915536509852169E-2</v>
      </c>
      <c r="M45" s="70">
        <f>IFERROR(VLOOKUP("Tl-209",$A$4:$R$32,13)/$B45,0)</f>
        <v>6.389031711767749E-15</v>
      </c>
      <c r="N45" s="71">
        <f>IFERROR(VLOOKUP("Tl-209",$A$4:$R$32,14)/$B45,0)</f>
        <v>3.5596040805662718E-17</v>
      </c>
      <c r="O45" s="71">
        <f>IFERROR(VLOOKUP("Tl-209",$A$4:$R$32,15)/$B45,0)</f>
        <v>1.365023606823163E-14</v>
      </c>
      <c r="P45" s="71">
        <f>IFERROR(VLOOKUP("Tl-209",$A$4:$R$32,16)/$B45,0)</f>
        <v>4.0746157843144253E-15</v>
      </c>
      <c r="Q45" s="71">
        <f>IFERROR(VLOOKUP("Tl-209",$A$4:$R$32,17)/$B45,0)</f>
        <v>4.0912866437115173E-15</v>
      </c>
      <c r="R45" s="95">
        <f t="shared" si="29"/>
        <v>3284.3614245760059</v>
      </c>
    </row>
    <row r="46" spans="1:18">
      <c r="A46" s="31" t="s">
        <v>187</v>
      </c>
      <c r="B46" s="32">
        <v>0.99987999999999999</v>
      </c>
      <c r="C46" s="70">
        <f>IFERROR(VLOOKUP("Pb-209",$A$4:$L$32,3)/$B46,0)</f>
        <v>0</v>
      </c>
      <c r="D46" s="71">
        <f>IFERROR(VLOOKUP("Pb-209",$A$4:$L$32,4)/$B46,0)</f>
        <v>0</v>
      </c>
      <c r="E46" s="71">
        <f>IFERROR(VLOOKUP("Pb-209",$A$4:$L$32,5)/$B46,0)</f>
        <v>0</v>
      </c>
      <c r="F46" s="71">
        <f>IFERROR(VLOOKUP("Pb-209",$A$4:$L$32,6)/$B46,0)</f>
        <v>0</v>
      </c>
      <c r="G46" s="71">
        <f>IFERROR(VLOOKUP("Pb-209",$A$4:$L$32,7)/$B46,0)</f>
        <v>0</v>
      </c>
      <c r="H46" s="70">
        <f>IFERROR(VLOOKUP("Pb-209",$A$4:$L$32,8)/$B46,0)</f>
        <v>0</v>
      </c>
      <c r="I46" s="71">
        <f>IFERROR(VLOOKUP("Pb-209",$A$4:$L$32,9)/$B46,0)</f>
        <v>0</v>
      </c>
      <c r="J46" s="71">
        <f>IFERROR(VLOOKUP("Pb-209",$A$4:$L$32,10)/$B46,0)</f>
        <v>0</v>
      </c>
      <c r="K46" s="71">
        <f>IFERROR(VLOOKUP("Pb-209",$A$4:$L$32,11)/$B46,0)</f>
        <v>0</v>
      </c>
      <c r="L46" s="71">
        <f>IFERROR(VLOOKUP("Pb-209",$A$4:$L$32,12)/$B46,0)</f>
        <v>0</v>
      </c>
      <c r="M46" s="70">
        <f>IFERROR(VLOOKUP("Pb-209",$A$4:$R$32,13)/$B46,0)</f>
        <v>0</v>
      </c>
      <c r="N46" s="71">
        <f>IFERROR(VLOOKUP("Pb-209",$A$4:$R$32,14)/$B46,0)</f>
        <v>0</v>
      </c>
      <c r="O46" s="71">
        <f>IFERROR(VLOOKUP("Pb-209",$A$4:$R$32,15)/$B46,0)</f>
        <v>0</v>
      </c>
      <c r="P46" s="71">
        <f>IFERROR(VLOOKUP("Pb-209",$A$4:$R$32,16)/$B46,0)</f>
        <v>0</v>
      </c>
      <c r="Q46" s="71">
        <f>IFERROR(VLOOKUP("Pb-209",$A$4:$R$32,17)/$B46,0)</f>
        <v>0</v>
      </c>
      <c r="R46" s="95">
        <f t="shared" si="29"/>
        <v>0</v>
      </c>
    </row>
    <row r="47" spans="1:18">
      <c r="A47" s="30" t="s">
        <v>17</v>
      </c>
      <c r="B47" s="30" t="s">
        <v>59</v>
      </c>
      <c r="C47" s="76">
        <f>IFERROR(1/SUM(1/C48,1/C49),0)</f>
        <v>0.48397829494948319</v>
      </c>
      <c r="D47" s="77">
        <f t="shared" ref="D47:G47" si="30">IFERROR(1/SUM(1/D48,1/D49),0)</f>
        <v>4.3551130835081757</v>
      </c>
      <c r="E47" s="77">
        <f t="shared" si="30"/>
        <v>1.5057767321626134</v>
      </c>
      <c r="F47" s="77">
        <f t="shared" si="30"/>
        <v>0.31641798336183691</v>
      </c>
      <c r="G47" s="77">
        <f t="shared" si="30"/>
        <v>0.26344821145738578</v>
      </c>
      <c r="H47" s="76">
        <f>IFERROR(1/SUM(1/H48,1/H49),0)</f>
        <v>1.7907196913130894E-2</v>
      </c>
      <c r="I47" s="77">
        <f t="shared" ref="I47:L47" si="31">IFERROR(1/SUM(1/I48,1/I49),0)</f>
        <v>0.16113918408980263</v>
      </c>
      <c r="J47" s="77">
        <f t="shared" si="31"/>
        <v>5.5713739090016735E-2</v>
      </c>
      <c r="K47" s="77">
        <f t="shared" si="31"/>
        <v>1.1707465384387978E-2</v>
      </c>
      <c r="L47" s="77">
        <f t="shared" si="31"/>
        <v>9.7475838239232844E-3</v>
      </c>
      <c r="M47" s="20">
        <f>IFERROR(C47*VLOOKUP("Cs-137",Isospec!$A$3:$R$31,3)*VLOOKUP("Cs-137",Isospec!$A$3:$R$31,6)*SSLgram,".")</f>
        <v>5.6006450140344642E-9</v>
      </c>
      <c r="N47" s="19">
        <f>IFERROR(D47*VLOOKUP("Cs-137",Isospec!$A$3:$R$31,3)*VLOOKUP("Cs-137",Isospec!$A$3:$R$31,6)*SSLcm_m,".")</f>
        <v>5.0397802197415209E-11</v>
      </c>
      <c r="O47" s="19">
        <f>IFERROR(E47*VLOOKUP("Cs-137",Isospec!$A$3:$R$31,3)*VLOOKUP("Cs-137",Isospec!$A$3:$R$31,6)*SSLgram,".")</f>
        <v>1.7424998259717217E-8</v>
      </c>
      <c r="P47" s="19">
        <f>IFERROR(F47*VLOOKUP("Cs-137",Isospec!$A$3:$R$31,3)*VLOOKUP("Cs-137",Isospec!$A$3:$R$31,6)*SSLgram,".")</f>
        <v>3.6616204060375997E-9</v>
      </c>
      <c r="Q47" s="21">
        <f>IFERROR(G47*VLOOKUP("Cs-137",Isospec!$A$3:$R$31,3)*VLOOKUP("Cs-137",Isospec!$A$3:$R$31,6)*SSLgram,".")</f>
        <v>3.048648931888801E-9</v>
      </c>
      <c r="R47" s="94">
        <f t="shared" si="29"/>
        <v>966.83510453881513</v>
      </c>
    </row>
    <row r="48" spans="1:18">
      <c r="A48" s="31" t="s">
        <v>188</v>
      </c>
      <c r="B48" s="32">
        <v>1</v>
      </c>
      <c r="C48" s="70">
        <f>IFERROR(VLOOKUP("Cs-137",$A$4:$L$32,3)/$B48,0)</f>
        <v>2621.8590529868438</v>
      </c>
      <c r="D48" s="71">
        <f>IFERROR(VLOOKUP("Cs-137",$A$4:$L$32,4)/$B48,0)</f>
        <v>613.01366827311449</v>
      </c>
      <c r="E48" s="71">
        <f>IFERROR(VLOOKUP("Cs-137",$A$4:$L$32,5)/$B48,0)</f>
        <v>4589.4233532007665</v>
      </c>
      <c r="F48" s="71">
        <f>IFERROR(VLOOKUP("Cs-137",$A$4:$L$32,6)/$B48,0)</f>
        <v>2559.100852107546</v>
      </c>
      <c r="G48" s="71">
        <f>IFERROR(VLOOKUP("Cs-137",$A$4:$L$32,7)/$B48,0)</f>
        <v>1908.5226136737213</v>
      </c>
      <c r="H48" s="70">
        <f>IFERROR(VLOOKUP("Cs-137",$A$4:$L$32,8)/$B48,0)</f>
        <v>97.008784960513324</v>
      </c>
      <c r="I48" s="71">
        <f>IFERROR(VLOOKUP("Cs-137",$A$4:$L$32,9)/$B48,0)</f>
        <v>22.681505726105261</v>
      </c>
      <c r="J48" s="71">
        <f>IFERROR(VLOOKUP("Cs-137",$A$4:$L$32,10)/$B48,0)</f>
        <v>169.80866406842853</v>
      </c>
      <c r="K48" s="71">
        <f>IFERROR(VLOOKUP("Cs-137",$A$4:$L$32,11)/$B48,0)</f>
        <v>94.68673152797929</v>
      </c>
      <c r="L48" s="71">
        <f>IFERROR(VLOOKUP("Cs-137",$A$4:$L$32,12)/$B48,0)</f>
        <v>70.61533670592776</v>
      </c>
      <c r="M48" s="70">
        <f>IFERROR(VLOOKUP("Cs-137",$A$4:$R$32,13)/$B48,0)</f>
        <v>3.034041399345107E-5</v>
      </c>
      <c r="N48" s="71">
        <f>IFERROR(VLOOKUP("Cs-137",$A$4:$R$32,14)/$B48,0)</f>
        <v>7.0938552008972948E-9</v>
      </c>
      <c r="O48" s="71">
        <f>IFERROR(VLOOKUP("Cs-137",$A$4:$R$32,15)/$B48,0)</f>
        <v>5.3109263966228313E-5</v>
      </c>
      <c r="P48" s="71">
        <f>IFERROR(VLOOKUP("Cs-137",$A$4:$R$32,16)/$B48,0)</f>
        <v>2.9614169844669353E-5</v>
      </c>
      <c r="Q48" s="71">
        <f>IFERROR(VLOOKUP("Cs-137",$A$4:$R$32,17)/$B48,0)</f>
        <v>2.208561369794372E-5</v>
      </c>
      <c r="R48" s="95">
        <f t="shared" si="29"/>
        <v>136089.03435663143</v>
      </c>
    </row>
    <row r="49" spans="1:18">
      <c r="A49" s="31" t="s">
        <v>189</v>
      </c>
      <c r="B49" s="32">
        <v>0.94399</v>
      </c>
      <c r="C49" s="70">
        <f>IFERROR(VLOOKUP("Ba-137m",$A$4:$L$32,3)/$B49,0)</f>
        <v>0.48406765072014096</v>
      </c>
      <c r="D49" s="71">
        <f>IFERROR(VLOOKUP("Ba-137m",$A$4:$L$32,4)/$B49,0)</f>
        <v>4.386275070484988</v>
      </c>
      <c r="E49" s="71">
        <f>IFERROR(VLOOKUP("Ba-137m",$A$4:$L$32,5)/$B49,0)</f>
        <v>1.5062709353668624</v>
      </c>
      <c r="F49" s="71">
        <f>IFERROR(VLOOKUP("Ba-137m",$A$4:$L$32,6)/$B49,0)</f>
        <v>0.31645711144893152</v>
      </c>
      <c r="G49" s="71">
        <f>IFERROR(VLOOKUP("Ba-137m",$A$4:$L$32,7)/$B49,0)</f>
        <v>0.26348458228236399</v>
      </c>
      <c r="H49" s="70">
        <f>IFERROR(VLOOKUP("Ba-137m",$A$4:$L$32,8)/$B49,0)</f>
        <v>1.7910503076645233E-2</v>
      </c>
      <c r="I49" s="71">
        <f>IFERROR(VLOOKUP("Ba-137m",$A$4:$L$32,9)/$B49,0)</f>
        <v>0.1622921776079447</v>
      </c>
      <c r="J49" s="71">
        <f>IFERROR(VLOOKUP("Ba-137m",$A$4:$L$32,10)/$B49,0)</f>
        <v>5.5732024608573967E-2</v>
      </c>
      <c r="K49" s="71">
        <f>IFERROR(VLOOKUP("Ba-137m",$A$4:$L$32,11)/$B49,0)</f>
        <v>1.1708913123610479E-2</v>
      </c>
      <c r="L49" s="71">
        <f>IFERROR(VLOOKUP("Ba-137m",$A$4:$L$32,12)/$B49,0)</f>
        <v>9.7489295444474783E-3</v>
      </c>
      <c r="M49" s="70">
        <f>IFERROR(VLOOKUP("Ba-137m",$A$4:$R$32,13)/$B49,0)</f>
        <v>9.0159184034067095E-16</v>
      </c>
      <c r="N49" s="71">
        <f>IFERROR(VLOOKUP("Ba-137m",$A$4:$R$32,14)/$B49,0)</f>
        <v>8.1695808574601453E-18</v>
      </c>
      <c r="O49" s="71">
        <f>IFERROR(VLOOKUP("Ba-137m",$A$4:$R$32,15)/$B49,0)</f>
        <v>2.8054789090920106E-15</v>
      </c>
      <c r="P49" s="71">
        <f>IFERROR(VLOOKUP("Ba-137m",$A$4:$R$32,16)/$B49,0)</f>
        <v>5.8941172597606019E-16</v>
      </c>
      <c r="Q49" s="71">
        <f>IFERROR(VLOOKUP("Ba-137m",$A$4:$R$32,17)/$B49,0)</f>
        <v>4.9074865690351612E-16</v>
      </c>
      <c r="R49" s="95">
        <f t="shared" si="29"/>
        <v>973.75306564766731</v>
      </c>
    </row>
    <row r="50" spans="1:18">
      <c r="A50" s="30" t="s">
        <v>27</v>
      </c>
      <c r="B50" s="30" t="s">
        <v>59</v>
      </c>
      <c r="C50" s="76">
        <f t="shared" ref="C50:L50" si="32">IFERROR(1/SUM(1/C51,1/C52,1/C56,1/C57,1/C55,1/C58,1/C59,1/C60,1/C61,1/C63,1/C62,1/C64),0)</f>
        <v>0.12868540112710561</v>
      </c>
      <c r="D50" s="77">
        <f t="shared" si="32"/>
        <v>1.0268748709170885</v>
      </c>
      <c r="E50" s="77">
        <f t="shared" si="32"/>
        <v>0.37439635340833632</v>
      </c>
      <c r="F50" s="77">
        <f t="shared" si="32"/>
        <v>9.3105081616650834E-2</v>
      </c>
      <c r="G50" s="77">
        <f t="shared" si="32"/>
        <v>7.4665473777719205E-2</v>
      </c>
      <c r="H50" s="76">
        <f t="shared" si="32"/>
        <v>4.7613598417029111E-3</v>
      </c>
      <c r="I50" s="77">
        <f t="shared" si="32"/>
        <v>3.7994370223932303E-2</v>
      </c>
      <c r="J50" s="77">
        <f t="shared" si="32"/>
        <v>1.385266507610846E-2</v>
      </c>
      <c r="K50" s="77">
        <f t="shared" si="32"/>
        <v>3.4448880198160847E-3</v>
      </c>
      <c r="L50" s="77">
        <f t="shared" si="32"/>
        <v>2.7626225297756133E-3</v>
      </c>
      <c r="M50" s="20">
        <f>IFERROR(C50*VLOOKUP("Ra-226",Isospec!$A$3:$R$31,3)*VLOOKUP("Ra-226",Isospec!$A$3:$R$31,6)*SSLgram,".")</f>
        <v>1.3029139493317187E-7</v>
      </c>
      <c r="N50" s="19">
        <f>IFERROR(D50*VLOOKUP("Ra-226",Isospec!$A$3:$R$31,3)*VLOOKUP("Ra-226",Isospec!$A$3:$R$31,6)*SSLcm_m,".")</f>
        <v>1.0396902693061339E-9</v>
      </c>
      <c r="O50" s="19">
        <f>IFERROR(E50*VLOOKUP("Ra-226",Isospec!$A$3:$R$31,3)*VLOOKUP("Ra-226",Isospec!$A$3:$R$31,6)*SSLgram,".")</f>
        <v>3.7906881989887229E-7</v>
      </c>
      <c r="P50" s="19">
        <f>IFERROR(F50*VLOOKUP("Ra-226",Isospec!$A$3:$R$31,3)*VLOOKUP("Ra-226",Isospec!$A$3:$R$31,6)*SSLgram,".")</f>
        <v>9.4267033035226625E-8</v>
      </c>
      <c r="Q50" s="21">
        <f>IFERROR(G50*VLOOKUP("Ra-226",Isospec!$A$3:$R$31,3)*VLOOKUP("Ra-226",Isospec!$A$3:$R$31,6)*SSLgram,".")</f>
        <v>7.5597298890465138E-8</v>
      </c>
      <c r="R50" s="94">
        <f t="shared" si="29"/>
        <v>227.96622134359365</v>
      </c>
    </row>
    <row r="51" spans="1:18">
      <c r="A51" s="31" t="s">
        <v>190</v>
      </c>
      <c r="B51" s="32">
        <v>1</v>
      </c>
      <c r="C51" s="70">
        <f>IFERROR(VLOOKUP("Ra-226",$A$4:$L$32,3)/$B51,0)</f>
        <v>75.312354255992673</v>
      </c>
      <c r="D51" s="71">
        <f>IFERROR(VLOOKUP("Ra-226",$A$4:$L$32,4)/$B51,0)</f>
        <v>312.52717033818243</v>
      </c>
      <c r="E51" s="71">
        <f>IFERROR(VLOOKUP("Ra-226",$A$4:$L$32,5)/$B51,0)</f>
        <v>248.44374328281563</v>
      </c>
      <c r="F51" s="71">
        <f>IFERROR(VLOOKUP("Ra-226",$A$4:$L$32,6)/$B51,0)</f>
        <v>87.353960170835862</v>
      </c>
      <c r="G51" s="71">
        <f>IFERROR(VLOOKUP("Ra-226",$A$4:$L$32,7)/$B51,0)</f>
        <v>70.283615343034882</v>
      </c>
      <c r="H51" s="70">
        <f>IFERROR(VLOOKUP("Ra-226",$A$4:$L$32,8)/$B51,0)</f>
        <v>2.7865571074717317</v>
      </c>
      <c r="I51" s="71">
        <f>IFERROR(VLOOKUP("Ra-226",$A$4:$L$32,9)/$B51,0)</f>
        <v>11.563505302512761</v>
      </c>
      <c r="J51" s="71">
        <f>IFERROR(VLOOKUP("Ra-226",$A$4:$L$32,10)/$B51,0)</f>
        <v>9.1924185014641875</v>
      </c>
      <c r="K51" s="71">
        <f>IFERROR(VLOOKUP("Ra-226",$A$4:$L$32,11)/$B51,0)</f>
        <v>3.2320965263209303</v>
      </c>
      <c r="L51" s="71">
        <f>IFERROR(VLOOKUP("Ra-226",$A$4:$L$32,12)/$B51,0)</f>
        <v>2.6004937676922935</v>
      </c>
      <c r="M51" s="70">
        <f>IFERROR(VLOOKUP("Ra-226",$A$4:$R$32,13)/$B51,0)</f>
        <v>7.625225243710746E-5</v>
      </c>
      <c r="N51" s="71">
        <f>IFERROR(VLOOKUP("Ra-226",$A$4:$R$32,14)/$B51,0)</f>
        <v>3.1642750942400299E-7</v>
      </c>
      <c r="O51" s="71">
        <f>IFERROR(VLOOKUP("Ra-226",$A$4:$R$32,15)/$B51,0)</f>
        <v>2.5154432119898514E-4</v>
      </c>
      <c r="P51" s="71">
        <f>IFERROR(VLOOKUP("Ra-226",$A$4:$R$32,16)/$B51,0)</f>
        <v>8.8444137593767877E-5</v>
      </c>
      <c r="Q51" s="71">
        <f>IFERROR(VLOOKUP("Ra-226",$A$4:$R$32,17)/$B51,0)</f>
        <v>7.116075486251595E-5</v>
      </c>
      <c r="R51" s="95">
        <f t="shared" si="29"/>
        <v>69381.031815076509</v>
      </c>
    </row>
    <row r="52" spans="1:18">
      <c r="A52" s="31" t="s">
        <v>191</v>
      </c>
      <c r="B52" s="32">
        <v>1</v>
      </c>
      <c r="C52" s="70">
        <f>IFERROR(VLOOKUP("Rn-222",$A$4:$L$32,3)/$B52,0)</f>
        <v>883809.6836997288</v>
      </c>
      <c r="D52" s="71">
        <f>IFERROR(VLOOKUP("Rn-222",$A$4:$L$32,4)/$B52,0)</f>
        <v>7953908.9111111956</v>
      </c>
      <c r="E52" s="71">
        <f>IFERROR(VLOOKUP("Rn-222",$A$4:$L$32,5)/$B52,0)</f>
        <v>3043609.4492474725</v>
      </c>
      <c r="F52" s="71">
        <f>IFERROR(VLOOKUP("Rn-222",$A$4:$L$32,6)/$B52,0)</f>
        <v>779383.45325324591</v>
      </c>
      <c r="G52" s="71">
        <f>IFERROR(VLOOKUP("Rn-222",$A$4:$L$32,7)/$B52,0)</f>
        <v>514549.33415515145</v>
      </c>
      <c r="H52" s="70">
        <f>IFERROR(VLOOKUP("Rn-222",$A$4:$L$32,8)/$B52,0)</f>
        <v>32700.958296889999</v>
      </c>
      <c r="I52" s="71">
        <f>IFERROR(VLOOKUP("Rn-222",$A$4:$L$32,9)/$B52,0)</f>
        <v>294294.62971111451</v>
      </c>
      <c r="J52" s="71">
        <f>IFERROR(VLOOKUP("Rn-222",$A$4:$L$32,10)/$B52,0)</f>
        <v>112613.5496221566</v>
      </c>
      <c r="K52" s="71">
        <f>IFERROR(VLOOKUP("Rn-222",$A$4:$L$32,11)/$B52,0)</f>
        <v>28837.187770370128</v>
      </c>
      <c r="L52" s="71">
        <f>IFERROR(VLOOKUP("Rn-222",$A$4:$L$32,12)/$B52,0)</f>
        <v>19038.325363740623</v>
      </c>
      <c r="M52" s="70">
        <f>IFERROR(VLOOKUP("Rn-222",$A$4:$R$32,13)/$B52,0)</f>
        <v>5.7549027835862529E-6</v>
      </c>
      <c r="N52" s="71">
        <f>IFERROR(VLOOKUP("Rn-222",$A$4:$R$32,14)/$B52,0)</f>
        <v>5.1791662138538945E-8</v>
      </c>
      <c r="O52" s="71">
        <f>IFERROR(VLOOKUP("Rn-222",$A$4:$R$32,15)/$B52,0)</f>
        <v>1.9818380376079463E-5</v>
      </c>
      <c r="P52" s="71">
        <f>IFERROR(VLOOKUP("Rn-222",$A$4:$R$32,16)/$B52,0)</f>
        <v>5.0749342164166969E-6</v>
      </c>
      <c r="Q52" s="71">
        <f>IFERROR(VLOOKUP("Rn-222",$A$4:$R$32,17)/$B52,0)</f>
        <v>3.3504740330815219E-6</v>
      </c>
      <c r="R52" s="95">
        <f t="shared" si="29"/>
        <v>1765767778.2666855</v>
      </c>
    </row>
    <row r="53" spans="1:18">
      <c r="A53" s="31" t="s">
        <v>192</v>
      </c>
      <c r="B53" s="32">
        <v>1</v>
      </c>
      <c r="C53" s="70">
        <f>IFERROR(VLOOKUP("Po-218",$A$4:$L$32,3)/$B53,0)</f>
        <v>0</v>
      </c>
      <c r="D53" s="71">
        <f>IFERROR(VLOOKUP("Po-218",$A$4:$L$32,4)/$B53,0)</f>
        <v>0</v>
      </c>
      <c r="E53" s="71">
        <f>IFERROR(VLOOKUP("Po-218",$A$4:$L$32,5)/$B53,0)</f>
        <v>0</v>
      </c>
      <c r="F53" s="71">
        <f>IFERROR(VLOOKUP("Po-218",$A$4:$L$32,6)/$B53,0)</f>
        <v>0</v>
      </c>
      <c r="G53" s="71">
        <f>IFERROR(VLOOKUP("Po-218",$A$4:$L$32,7)/$B53,0)</f>
        <v>0</v>
      </c>
      <c r="H53" s="70">
        <f>IFERROR(VLOOKUP("Po-218",$A$4:$L$32,8)/$B53,0)</f>
        <v>0</v>
      </c>
      <c r="I53" s="71">
        <f>IFERROR(VLOOKUP("Po-218",$A$4:$L$32,9)/$B53,0)</f>
        <v>0</v>
      </c>
      <c r="J53" s="71">
        <f>IFERROR(VLOOKUP("Po-218",$A$4:$L$32,10)/$B53,0)</f>
        <v>0</v>
      </c>
      <c r="K53" s="71">
        <f>IFERROR(VLOOKUP("Po-218",$A$4:$L$32,11)/$B53,0)</f>
        <v>0</v>
      </c>
      <c r="L53" s="71">
        <f>IFERROR(VLOOKUP("Po-218",$A$4:$L$32,12)/$B53,0)</f>
        <v>0</v>
      </c>
      <c r="M53" s="70">
        <f>IFERROR(VLOOKUP("Po-218",$A$4:$R$32,13)/$B53,0)</f>
        <v>0</v>
      </c>
      <c r="N53" s="71">
        <f>IFERROR(VLOOKUP("Po-218",$A$4:$R$32,14)/$B53,0)</f>
        <v>0</v>
      </c>
      <c r="O53" s="71">
        <f>IFERROR(VLOOKUP("Po-218",$A$4:$R$32,15)/$B53,0)</f>
        <v>0</v>
      </c>
      <c r="P53" s="71">
        <f>IFERROR(VLOOKUP("Po-218",$A$4:$R$32,16)/$B53,0)</f>
        <v>0</v>
      </c>
      <c r="Q53" s="71">
        <f>IFERROR(VLOOKUP("Po-218",$A$4:$R$32,17)/$B53,0)</f>
        <v>0</v>
      </c>
      <c r="R53" s="95">
        <f t="shared" si="29"/>
        <v>0</v>
      </c>
    </row>
    <row r="54" spans="1:18">
      <c r="A54" s="31" t="s">
        <v>194</v>
      </c>
      <c r="B54" s="32">
        <v>2.0000000000000001E-4</v>
      </c>
      <c r="C54" s="70">
        <f>IFERROR(VLOOKUP("At-218",$A$4:$L$32,3)/$B54,0)</f>
        <v>0</v>
      </c>
      <c r="D54" s="71">
        <f>IFERROR(VLOOKUP("At-218",$A$4:$L$32,4)/$B54,0)</f>
        <v>0</v>
      </c>
      <c r="E54" s="71">
        <f>IFERROR(VLOOKUP("At-218",$A$4:$L$32,5)/$B54,0)</f>
        <v>0</v>
      </c>
      <c r="F54" s="71">
        <f>IFERROR(VLOOKUP("At-218",$A$4:$L$32,6)/$B54,0)</f>
        <v>0</v>
      </c>
      <c r="G54" s="71">
        <f>IFERROR(VLOOKUP("At-218",$A$4:$L$32,7)/$B54,0)</f>
        <v>0</v>
      </c>
      <c r="H54" s="70">
        <f>IFERROR(VLOOKUP("At-218",$A$4:$L$32,8)/$B54,0)</f>
        <v>0</v>
      </c>
      <c r="I54" s="71">
        <f>IFERROR(VLOOKUP("At-218",$A$4:$L$32,9)/$B54,0)</f>
        <v>0</v>
      </c>
      <c r="J54" s="71">
        <f>IFERROR(VLOOKUP("At-218",$A$4:$L$32,10)/$B54,0)</f>
        <v>0</v>
      </c>
      <c r="K54" s="71">
        <f>IFERROR(VLOOKUP("At-218",$A$4:$L$32,11)/$B54,0)</f>
        <v>0</v>
      </c>
      <c r="L54" s="71">
        <f>IFERROR(VLOOKUP("At-218",$A$4:$L$32,12)/$B54,0)</f>
        <v>0</v>
      </c>
      <c r="M54" s="70">
        <f>IFERROR(VLOOKUP("At-218",$A$4:$R$32,13)/$B54,0)</f>
        <v>0</v>
      </c>
      <c r="N54" s="71">
        <f>IFERROR(VLOOKUP("At-218",$A$4:$R$32,14)/$B54,0)</f>
        <v>0</v>
      </c>
      <c r="O54" s="71">
        <f>IFERROR(VLOOKUP("At-218",$A$4:$R$32,15)/$B54,0)</f>
        <v>0</v>
      </c>
      <c r="P54" s="71">
        <f>IFERROR(VLOOKUP("At-218",$A$4:$R$32,16)/$B54,0)</f>
        <v>0</v>
      </c>
      <c r="Q54" s="71">
        <f>IFERROR(VLOOKUP("At-218",$A$4:$R$32,17)/$B54,0)</f>
        <v>0</v>
      </c>
      <c r="R54" s="95">
        <f t="shared" si="29"/>
        <v>0</v>
      </c>
    </row>
    <row r="55" spans="1:18">
      <c r="A55" s="31" t="s">
        <v>196</v>
      </c>
      <c r="B55" s="32">
        <v>1.9999999999999999E-7</v>
      </c>
      <c r="C55" s="70">
        <f>IFERROR(VLOOKUP("Rn-218",$A$4:$L$32,3)/$B55,0)</f>
        <v>1352200337237.959</v>
      </c>
      <c r="D55" s="71">
        <f>IFERROR(VLOOKUP("Rn-218",$A$4:$L$32,4)/$B55,0)</f>
        <v>12979799611447.803</v>
      </c>
      <c r="E55" s="71">
        <f>IFERROR(VLOOKUP("Rn-218",$A$4:$L$32,5)/$B55,0)</f>
        <v>4617866408874.5029</v>
      </c>
      <c r="F55" s="71">
        <f>IFERROR(VLOOKUP("Rn-218",$A$4:$L$32,6)/$B55,0)</f>
        <v>1033133372195.4734</v>
      </c>
      <c r="G55" s="71">
        <f>IFERROR(VLOOKUP("Rn-218",$A$4:$L$32,7)/$B55,0)</f>
        <v>698449480367.30005</v>
      </c>
      <c r="H55" s="70">
        <f>IFERROR(VLOOKUP("Rn-218",$A$4:$L$32,8)/$B55,0)</f>
        <v>50031412477.804535</v>
      </c>
      <c r="I55" s="71">
        <f>IFERROR(VLOOKUP("Rn-218",$A$4:$L$32,9)/$B55,0)</f>
        <v>480252585623.56921</v>
      </c>
      <c r="J55" s="71">
        <f>IFERROR(VLOOKUP("Rn-218",$A$4:$L$32,10)/$B55,0)</f>
        <v>170861057128.35678</v>
      </c>
      <c r="K55" s="71">
        <f>IFERROR(VLOOKUP("Rn-218",$A$4:$L$32,11)/$B55,0)</f>
        <v>38225934771.232552</v>
      </c>
      <c r="L55" s="71">
        <f>IFERROR(VLOOKUP("Rn-218",$A$4:$L$32,12)/$B55,0)</f>
        <v>25842630773.590126</v>
      </c>
      <c r="M55" s="70">
        <f>IFERROR(VLOOKUP("Rn-218",$A$4:$R$32,13)/$B55,0)</f>
        <v>9.1604540857283056E-7</v>
      </c>
      <c r="N55" s="71">
        <f>IFERROR(VLOOKUP("Rn-218",$A$4:$R$32,14)/$B55,0)</f>
        <v>8.7931392344933019E-9</v>
      </c>
      <c r="O55" s="71">
        <f>IFERROR(VLOOKUP("Rn-218",$A$4:$R$32,15)/$B55,0)</f>
        <v>3.1283643442160826E-6</v>
      </c>
      <c r="P55" s="71">
        <f>IFERROR(VLOOKUP("Rn-218",$A$4:$R$32,16)/$B55,0)</f>
        <v>6.9989413253376698E-7</v>
      </c>
      <c r="Q55" s="71">
        <f>IFERROR(VLOOKUP("Rn-218",$A$4:$R$32,17)/$B55,0)</f>
        <v>4.731632007409795E-7</v>
      </c>
      <c r="R55" s="95">
        <f>IF(D55&lt;&gt;".",D55*2.22*100,".")</f>
        <v>2881515513741412.5</v>
      </c>
    </row>
    <row r="56" spans="1:18">
      <c r="A56" s="31" t="s">
        <v>193</v>
      </c>
      <c r="B56" s="32">
        <v>0.99980000000000002</v>
      </c>
      <c r="C56" s="70">
        <f>IFERROR(VLOOKUP("Pb-214",$A$4:$L$32,3)/$B56,0)</f>
        <v>1.4976375330235603</v>
      </c>
      <c r="D56" s="71">
        <f>IFERROR(VLOOKUP("Pb-214",$A$4:$L$32,4)/$B56,0)</f>
        <v>6.5567364368738632</v>
      </c>
      <c r="E56" s="71">
        <f>IFERROR(VLOOKUP("Pb-214",$A$4:$L$32,5)/$B56,0)</f>
        <v>2.2866884314635336</v>
      </c>
      <c r="F56" s="71">
        <f>IFERROR(VLOOKUP("Pb-214",$A$4:$L$32,6)/$B56,0)</f>
        <v>0.73133530537700853</v>
      </c>
      <c r="G56" s="71">
        <f>IFERROR(VLOOKUP("Pb-214",$A$4:$L$32,7)/$B56,0)</f>
        <v>1.056288800399185</v>
      </c>
      <c r="H56" s="70">
        <f>IFERROR(VLOOKUP("Pb-214",$A$4:$L$32,8)/$B56,0)</f>
        <v>5.5412588721871783E-2</v>
      </c>
      <c r="I56" s="71">
        <f>IFERROR(VLOOKUP("Pb-214",$A$4:$L$32,9)/$B56,0)</f>
        <v>0.2425992481643332</v>
      </c>
      <c r="J56" s="71">
        <f>IFERROR(VLOOKUP("Pb-214",$A$4:$L$32,10)/$B56,0)</f>
        <v>8.4607471964150818E-2</v>
      </c>
      <c r="K56" s="71">
        <f>IFERROR(VLOOKUP("Pb-214",$A$4:$L$32,11)/$B56,0)</f>
        <v>2.7059406298949342E-2</v>
      </c>
      <c r="L56" s="71">
        <f>IFERROR(VLOOKUP("Pb-214",$A$4:$L$32,12)/$B56,0)</f>
        <v>3.908268561476988E-2</v>
      </c>
      <c r="M56" s="70">
        <f>IFERROR(VLOOKUP("Pb-214",$A$4:$R$32,13)/$B56,0)</f>
        <v>4.5757043725857318E-14</v>
      </c>
      <c r="N56" s="71">
        <f>IFERROR(VLOOKUP("Pb-214",$A$4:$R$32,14)/$B56,0)</f>
        <v>2.0032676079856203E-16</v>
      </c>
      <c r="O56" s="71">
        <f>IFERROR(VLOOKUP("Pb-214",$A$4:$R$32,15)/$B56,0)</f>
        <v>6.9864770506017318E-14</v>
      </c>
      <c r="P56" s="71">
        <f>IFERROR(VLOOKUP("Pb-214",$A$4:$R$32,16)/$B56,0)</f>
        <v>2.2344352894815276E-14</v>
      </c>
      <c r="Q56" s="71">
        <f>IFERROR(VLOOKUP("Pb-214",$A$4:$R$32,17)/$B56,0)</f>
        <v>3.2272597181389235E-14</v>
      </c>
      <c r="R56" s="95">
        <f>IF(D56&lt;&gt;".",D56*2.22*100,".")</f>
        <v>1455.5954889859977</v>
      </c>
    </row>
    <row r="57" spans="1:18">
      <c r="A57" s="31" t="s">
        <v>195</v>
      </c>
      <c r="B57" s="32">
        <v>0.99999979999999999</v>
      </c>
      <c r="C57" s="70">
        <f>IFERROR(VLOOKUP("Bi-214",$A$4:$L$32,3)/$B57,0)</f>
        <v>0.14118234631694665</v>
      </c>
      <c r="D57" s="71">
        <f>IFERROR(VLOOKUP("Bi-214",$A$4:$L$32,4)/$B57,0)</f>
        <v>1.224566590032935</v>
      </c>
      <c r="E57" s="71">
        <f>IFERROR(VLOOKUP("Bi-214",$A$4:$L$32,5)/$B57,0)</f>
        <v>0.44955619641954903</v>
      </c>
      <c r="F57" s="71">
        <f>IFERROR(VLOOKUP("Bi-214",$A$4:$L$32,6)/$B57,0)</f>
        <v>0.1069725731368478</v>
      </c>
      <c r="G57" s="71">
        <f>IFERROR(VLOOKUP("Bi-214",$A$4:$L$32,7)/$B57,0)</f>
        <v>8.0502265327461603E-2</v>
      </c>
      <c r="H57" s="70">
        <f>IFERROR(VLOOKUP("Bi-214",$A$4:$L$32,8)/$B57,0)</f>
        <v>5.2237468137270307E-3</v>
      </c>
      <c r="I57" s="71">
        <f>IFERROR(VLOOKUP("Bi-214",$A$4:$L$32,9)/$B57,0)</f>
        <v>4.5308963831218636E-2</v>
      </c>
      <c r="J57" s="71">
        <f>IFERROR(VLOOKUP("Bi-214",$A$4:$L$32,10)/$B57,0)</f>
        <v>1.6633579267523332E-2</v>
      </c>
      <c r="K57" s="71">
        <f>IFERROR(VLOOKUP("Bi-214",$A$4:$L$32,11)/$B57,0)</f>
        <v>3.9579852060633728E-3</v>
      </c>
      <c r="L57" s="71">
        <f>IFERROR(VLOOKUP("Bi-214",$A$4:$L$32,12)/$B57,0)</f>
        <v>2.9785838171160822E-3</v>
      </c>
      <c r="M57" s="70">
        <f>IFERROR(VLOOKUP("Bi-214",$A$4:$R$32,13)/$B57,0)</f>
        <v>3.2029482345338294E-15</v>
      </c>
      <c r="N57" s="71">
        <f>IFERROR(VLOOKUP("Bi-214",$A$4:$R$32,14)/$B57,0)</f>
        <v>2.778125948417038E-17</v>
      </c>
      <c r="O57" s="71">
        <f>IFERROR(VLOOKUP("Bi-214",$A$4:$R$32,15)/$B57,0)</f>
        <v>1.0198904205864588E-14</v>
      </c>
      <c r="P57" s="71">
        <f>IFERROR(VLOOKUP("Bi-214",$A$4:$R$32,16)/$B57,0)</f>
        <v>2.4268445964414514E-15</v>
      </c>
      <c r="Q57" s="71">
        <f>IFERROR(VLOOKUP("Bi-214",$A$4:$R$32,17)/$B57,0)</f>
        <v>1.8263231581923141E-15</v>
      </c>
      <c r="R57" s="95">
        <f t="shared" si="29"/>
        <v>271.8537829873116</v>
      </c>
    </row>
    <row r="58" spans="1:18">
      <c r="A58" s="31" t="s">
        <v>197</v>
      </c>
      <c r="B58" s="32">
        <v>0.99979000004200003</v>
      </c>
      <c r="C58" s="70">
        <f>IFERROR(VLOOKUP("Po-214",$A$4:$L$32,3)/$B58,0)</f>
        <v>36625793.862776384</v>
      </c>
      <c r="D58" s="71">
        <f>IFERROR(VLOOKUP("Po-214",$A$4:$L$32,4)/$B58,0)</f>
        <v>288037214.35514063</v>
      </c>
      <c r="E58" s="71">
        <f>IFERROR(VLOOKUP("Po-214",$A$4:$L$32,5)/$B58,0)</f>
        <v>95925674.985214889</v>
      </c>
      <c r="F58" s="71">
        <f>IFERROR(VLOOKUP("Po-214",$A$4:$L$32,6)/$B58,0)</f>
        <v>21892782.429514613</v>
      </c>
      <c r="G58" s="71">
        <f>IFERROR(VLOOKUP("Po-214",$A$4:$L$32,7)/$B58,0)</f>
        <v>20647203.87875687</v>
      </c>
      <c r="H58" s="70">
        <f>IFERROR(VLOOKUP("Po-214",$A$4:$L$32,8)/$B58,0)</f>
        <v>1355154.3729227276</v>
      </c>
      <c r="I58" s="71">
        <f>IFERROR(VLOOKUP("Po-214",$A$4:$L$32,9)/$B58,0)</f>
        <v>10657376.931140214</v>
      </c>
      <c r="J58" s="71">
        <f>IFERROR(VLOOKUP("Po-214",$A$4:$L$32,10)/$B58,0)</f>
        <v>3549249.9744529547</v>
      </c>
      <c r="K58" s="71">
        <f>IFERROR(VLOOKUP("Po-214",$A$4:$L$32,11)/$B58,0)</f>
        <v>810032.94989204151</v>
      </c>
      <c r="L58" s="71">
        <f>IFERROR(VLOOKUP("Po-214",$A$4:$L$32,12)/$B58,0)</f>
        <v>763946.54351400502</v>
      </c>
      <c r="M58" s="70">
        <f>IFERROR(VLOOKUP("Po-214",$A$4:$R$32,13)/$B58,0)</f>
        <v>1.1433779378003418E-13</v>
      </c>
      <c r="N58" s="71">
        <f>IFERROR(VLOOKUP("Po-214",$A$4:$R$32,14)/$B58,0)</f>
        <v>8.9918978246051531E-16</v>
      </c>
      <c r="O58" s="71">
        <f>IFERROR(VLOOKUP("Po-214",$A$4:$R$32,15)/$B58,0)</f>
        <v>2.9945917584101938E-13</v>
      </c>
      <c r="P58" s="71">
        <f>IFERROR(VLOOKUP("Po-214",$A$4:$R$32,16)/$B58,0)</f>
        <v>6.8344523864123741E-14</v>
      </c>
      <c r="Q58" s="71">
        <f>IFERROR(VLOOKUP("Po-214",$A$4:$R$32,17)/$B58,0)</f>
        <v>6.4456097472413114E-14</v>
      </c>
      <c r="R58" s="95">
        <f t="shared" si="29"/>
        <v>63944261586.841225</v>
      </c>
    </row>
    <row r="59" spans="1:18">
      <c r="A59" s="31" t="s">
        <v>198</v>
      </c>
      <c r="B59" s="32">
        <v>2.0999995799999999E-4</v>
      </c>
      <c r="C59" s="70">
        <f>IFERROR(VLOOKUP("Tl-210",$A$4:$L$32,3)/$B59,0)</f>
        <v>170.35348731663782</v>
      </c>
      <c r="D59" s="71">
        <f>IFERROR(VLOOKUP("Tl-210",$A$4:$L$32,4)/$B59,0)</f>
        <v>1119.937839682693</v>
      </c>
      <c r="E59" s="71">
        <f>IFERROR(VLOOKUP("Tl-210",$A$4:$L$32,5)/$B59,0)</f>
        <v>382.53759528530748</v>
      </c>
      <c r="F59" s="71">
        <f>IFERROR(VLOOKUP("Tl-210",$A$4:$L$32,6)/$B59,0)</f>
        <v>100.92793080552433</v>
      </c>
      <c r="G59" s="71">
        <f>IFERROR(VLOOKUP("Tl-210",$A$4:$L$32,7)/$B59,0)</f>
        <v>102.50746766564048</v>
      </c>
      <c r="H59" s="70">
        <f>IFERROR(VLOOKUP("Tl-210",$A$4:$L$32,8)/$B59,0)</f>
        <v>6.3030790307156064</v>
      </c>
      <c r="I59" s="71">
        <f>IFERROR(VLOOKUP("Tl-210",$A$4:$L$32,9)/$B59,0)</f>
        <v>41.437700068259687</v>
      </c>
      <c r="J59" s="71">
        <f>IFERROR(VLOOKUP("Tl-210",$A$4:$L$32,10)/$B59,0)</f>
        <v>14.153891025556389</v>
      </c>
      <c r="K59" s="71">
        <f>IFERROR(VLOOKUP("Tl-210",$A$4:$L$32,11)/$B59,0)</f>
        <v>3.7343334398044039</v>
      </c>
      <c r="L59" s="71">
        <f>IFERROR(VLOOKUP("Tl-210",$A$4:$L$32,12)/$B59,0)</f>
        <v>3.7927763036287017</v>
      </c>
      <c r="M59" s="70">
        <f>IFERROR(VLOOKUP("Tl-210",$A$4:$R$32,13)/$B59,0)</f>
        <v>2.4775153292396492E-13</v>
      </c>
      <c r="N59" s="71">
        <f>IFERROR(VLOOKUP("Tl-210",$A$4:$R$32,14)/$B59,0)</f>
        <v>1.6287680453832527E-15</v>
      </c>
      <c r="O59" s="71">
        <f>IFERROR(VLOOKUP("Tl-210",$A$4:$R$32,15)/$B59,0)</f>
        <v>5.5633892282360068E-13</v>
      </c>
      <c r="P59" s="71">
        <f>IFERROR(VLOOKUP("Tl-210",$A$4:$R$32,16)/$B59,0)</f>
        <v>1.4678331489296351E-13</v>
      </c>
      <c r="Q59" s="71">
        <f>IFERROR(VLOOKUP("Tl-210",$A$4:$R$32,17)/$B59,0)</f>
        <v>1.490804952123561E-13</v>
      </c>
      <c r="R59" s="95">
        <f t="shared" si="29"/>
        <v>248626.2004095579</v>
      </c>
    </row>
    <row r="60" spans="1:18">
      <c r="A60" s="31" t="s">
        <v>199</v>
      </c>
      <c r="B60" s="32">
        <v>1</v>
      </c>
      <c r="C60" s="70">
        <f>IFERROR(VLOOKUP("Pb-210",$A$4:$L$32,3)/$B60,0)</f>
        <v>1017.2385518649644</v>
      </c>
      <c r="D60" s="71">
        <f>IFERROR(VLOOKUP("Pb-210",$A$4:$L$32,4)/$B60,0)</f>
        <v>1651.9410530782845</v>
      </c>
      <c r="E60" s="71">
        <f>IFERROR(VLOOKUP("Pb-210",$A$4:$L$32,5)/$B60,0)</f>
        <v>385.05503655092582</v>
      </c>
      <c r="F60" s="71">
        <f>IFERROR(VLOOKUP("Pb-210",$A$4:$L$32,6)/$B60,0)</f>
        <v>274.5138117101568</v>
      </c>
      <c r="G60" s="71">
        <f>IFERROR(VLOOKUP("Pb-210",$A$4:$L$32,7)/$B60,0)</f>
        <v>2745.8410726711231</v>
      </c>
      <c r="H60" s="70">
        <f>IFERROR(VLOOKUP("Pb-210",$A$4:$L$32,8)/$B60,0)</f>
        <v>37.637826419003723</v>
      </c>
      <c r="I60" s="71">
        <f>IFERROR(VLOOKUP("Pb-210",$A$4:$L$32,9)/$B60,0)</f>
        <v>61.121818963896587</v>
      </c>
      <c r="J60" s="71">
        <f>IFERROR(VLOOKUP("Pb-210",$A$4:$L$32,10)/$B60,0)</f>
        <v>14.247036352384269</v>
      </c>
      <c r="K60" s="71">
        <f>IFERROR(VLOOKUP("Pb-210",$A$4:$L$32,11)/$B60,0)</f>
        <v>10.157011033275811</v>
      </c>
      <c r="L60" s="71">
        <f>IFERROR(VLOOKUP("Pb-210",$A$4:$L$32,12)/$B60,0)</f>
        <v>101.59611968883166</v>
      </c>
      <c r="M60" s="70">
        <f>IFERROR(VLOOKUP("Pb-210",$A$4:$R$32,13)/$B60,0)</f>
        <v>1.3278625160624496E-5</v>
      </c>
      <c r="N60" s="71">
        <f>IFERROR(VLOOKUP("Pb-210",$A$4:$R$32,14)/$B60,0)</f>
        <v>2.1563777730462697E-8</v>
      </c>
      <c r="O60" s="71">
        <f>IFERROR(VLOOKUP("Pb-210",$A$4:$R$32,15)/$B60,0)</f>
        <v>5.0263544251211638E-6</v>
      </c>
      <c r="P60" s="71">
        <f>IFERROR(VLOOKUP("Pb-210",$A$4:$R$32,16)/$B60,0)</f>
        <v>3.5833934925397027E-6</v>
      </c>
      <c r="Q60" s="71">
        <f>IFERROR(VLOOKUP("Pb-210",$A$4:$R$32,17)/$B60,0)</f>
        <v>3.5843111026219769E-5</v>
      </c>
      <c r="R60" s="95">
        <f t="shared" si="29"/>
        <v>366730.91378337925</v>
      </c>
    </row>
    <row r="61" spans="1:18">
      <c r="A61" s="31" t="s">
        <v>200</v>
      </c>
      <c r="B61" s="32">
        <v>1</v>
      </c>
      <c r="C61" s="70">
        <f>IFERROR(VLOOKUP("Bi-210",$A$4:$L$32,3)/$B61,0)</f>
        <v>247883182.83295166</v>
      </c>
      <c r="D61" s="71">
        <f>IFERROR(VLOOKUP("Bi-210",$A$4:$L$32,4)/$B61,0)</f>
        <v>38549608.275206901</v>
      </c>
      <c r="E61" s="71">
        <f>IFERROR(VLOOKUP("Bi-210",$A$4:$L$32,5)/$B61,0)</f>
        <v>193959592.724841</v>
      </c>
      <c r="F61" s="71">
        <f>IFERROR(VLOOKUP("Bi-210",$A$4:$L$32,6)/$B61,0)</f>
        <v>110230208.632286</v>
      </c>
      <c r="G61" s="71">
        <f>IFERROR(VLOOKUP("Bi-210",$A$4:$L$32,7)/$B61,0)</f>
        <v>178919928.13290063</v>
      </c>
      <c r="H61" s="70">
        <f>IFERROR(VLOOKUP("Bi-210",$A$4:$L$32,8)/$B61,0)</f>
        <v>9171677.7648192216</v>
      </c>
      <c r="I61" s="71">
        <f>IFERROR(VLOOKUP("Bi-210",$A$4:$L$32,9)/$B61,0)</f>
        <v>1426335.5061826569</v>
      </c>
      <c r="J61" s="71">
        <f>IFERROR(VLOOKUP("Bi-210",$A$4:$L$32,10)/$B61,0)</f>
        <v>7176504.930819124</v>
      </c>
      <c r="K61" s="71">
        <f>IFERROR(VLOOKUP("Bi-210",$A$4:$L$32,11)/$B61,0)</f>
        <v>4078517.719394586</v>
      </c>
      <c r="L61" s="71">
        <f>IFERROR(VLOOKUP("Bi-210",$A$4:$L$32,12)/$B61,0)</f>
        <v>6620037.3409173302</v>
      </c>
      <c r="M61" s="70">
        <f>IFERROR(VLOOKUP("Bi-210",$A$4:$R$32,13)/$B61,0)</f>
        <v>2.0018393878861048E-3</v>
      </c>
      <c r="N61" s="71">
        <f>IFERROR(VLOOKUP("Bi-210",$A$4:$R$32,14)/$B61,0)</f>
        <v>3.1131649735550715E-7</v>
      </c>
      <c r="O61" s="71">
        <f>IFERROR(VLOOKUP("Bi-210",$A$4:$R$32,15)/$B61,0)</f>
        <v>1.5663666568158953E-3</v>
      </c>
      <c r="P61" s="71">
        <f>IFERROR(VLOOKUP("Bi-210",$A$4:$R$32,16)/$B61,0)</f>
        <v>8.9019017285943847E-4</v>
      </c>
      <c r="Q61" s="71">
        <f>IFERROR(VLOOKUP("Bi-210",$A$4:$R$32,17)/$B61,0)</f>
        <v>1.4449102812091994E-3</v>
      </c>
      <c r="R61" s="95">
        <f t="shared" si="29"/>
        <v>8558013037.095933</v>
      </c>
    </row>
    <row r="62" spans="1:18">
      <c r="A62" s="31" t="s">
        <v>202</v>
      </c>
      <c r="B62" s="32">
        <v>1</v>
      </c>
      <c r="C62" s="70">
        <f>IFERROR(VLOOKUP("Po-210",$A$4:$L$32,3)/$B62,0)</f>
        <v>2679917499.8324876</v>
      </c>
      <c r="D62" s="71">
        <f>IFERROR(VLOOKUP("Po-210",$A$4:$L$32,4)/$B62,0)</f>
        <v>21150197168.345898</v>
      </c>
      <c r="E62" s="71">
        <f>IFERROR(VLOOKUP("Po-210",$A$4:$L$32,5)/$B62,0)</f>
        <v>7039435745.1032133</v>
      </c>
      <c r="F62" s="71">
        <f>IFERROR(VLOOKUP("Po-210",$A$4:$L$32,6)/$B62,0)</f>
        <v>1602597630.6317658</v>
      </c>
      <c r="G62" s="71">
        <f>IFERROR(VLOOKUP("Po-210",$A$4:$L$32,7)/$B62,0)</f>
        <v>1519837434.9312439</v>
      </c>
      <c r="H62" s="70">
        <f>IFERROR(VLOOKUP("Po-210",$A$4:$L$32,8)/$B62,0)</f>
        <v>99156947.493802145</v>
      </c>
      <c r="I62" s="71">
        <f>IFERROR(VLOOKUP("Po-210",$A$4:$L$32,9)/$B62,0)</f>
        <v>782557295.22879899</v>
      </c>
      <c r="J62" s="71">
        <f>IFERROR(VLOOKUP("Po-210",$A$4:$L$32,10)/$B62,0)</f>
        <v>260459122.56881917</v>
      </c>
      <c r="K62" s="71">
        <f>IFERROR(VLOOKUP("Po-210",$A$4:$L$32,11)/$B62,0)</f>
        <v>59296112.333375394</v>
      </c>
      <c r="L62" s="71">
        <f>IFERROR(VLOOKUP("Po-210",$A$4:$L$32,12)/$B62,0)</f>
        <v>56233985.09245608</v>
      </c>
      <c r="M62" s="70">
        <f>IFERROR(VLOOKUP("Po-210",$A$4:$R$32,13)/$B62,0)</f>
        <v>0.59740198138796829</v>
      </c>
      <c r="N62" s="71">
        <f>IFERROR(VLOOKUP("Po-210",$A$4:$R$32,14)/$B62,0)</f>
        <v>4.7147606953967117E-3</v>
      </c>
      <c r="O62" s="71">
        <f>IFERROR(VLOOKUP("Po-210",$A$4:$R$32,15)/$B62,0)</f>
        <v>1.5692172845771604</v>
      </c>
      <c r="P62" s="71">
        <f>IFERROR(VLOOKUP("Po-210",$A$4:$R$32,16)/$B62,0)</f>
        <v>0.35724793765738072</v>
      </c>
      <c r="Q62" s="71">
        <f>IFERROR(VLOOKUP("Po-210",$A$4:$R$32,17)/$B62,0)</f>
        <v>0.33879919627088728</v>
      </c>
      <c r="R62" s="95">
        <f>IF(D62&lt;&gt;".",D62*2.22*100,".")</f>
        <v>4695343771372.79</v>
      </c>
    </row>
    <row r="63" spans="1:18">
      <c r="A63" s="31" t="s">
        <v>201</v>
      </c>
      <c r="B63" s="34">
        <v>1.9000000000000001E-8</v>
      </c>
      <c r="C63" s="70">
        <f>IFERROR(VLOOKUP("Hg-206",$A$4:$L$32,3)/$B63,0)</f>
        <v>334958952.82938135</v>
      </c>
      <c r="D63" s="71">
        <f>IFERROR(VLOOKUP("Hg-206",$A$4:$L$32,4)/$B63,0)</f>
        <v>1302192284.3713009</v>
      </c>
      <c r="E63" s="71">
        <f>IFERROR(VLOOKUP("Hg-206",$A$4:$L$32,5)/$B63,0)</f>
        <v>650068462.37010491</v>
      </c>
      <c r="F63" s="71">
        <f>IFERROR(VLOOKUP("Hg-206",$A$4:$L$32,6)/$B63,0)</f>
        <v>190593595.6559445</v>
      </c>
      <c r="G63" s="71">
        <f>IFERROR(VLOOKUP("Hg-206",$A$4:$L$32,7)/$B63,0)</f>
        <v>244354602.50038007</v>
      </c>
      <c r="H63" s="70">
        <f>IFERROR(VLOOKUP("Hg-206",$A$4:$L$32,8)/$B63,0)</f>
        <v>12393481.254687123</v>
      </c>
      <c r="I63" s="71">
        <f>IFERROR(VLOOKUP("Hg-206",$A$4:$L$32,9)/$B63,0)</f>
        <v>48181114.521738186</v>
      </c>
      <c r="J63" s="71">
        <f>IFERROR(VLOOKUP("Hg-206",$A$4:$L$32,10)/$B63,0)</f>
        <v>24052533.107693911</v>
      </c>
      <c r="K63" s="71">
        <f>IFERROR(VLOOKUP("Hg-206",$A$4:$L$32,11)/$B63,0)</f>
        <v>7051963.0392699521</v>
      </c>
      <c r="L63" s="71">
        <f>IFERROR(VLOOKUP("Hg-206",$A$4:$L$32,12)/$B63,0)</f>
        <v>9041120.2925140727</v>
      </c>
      <c r="M63" s="70">
        <f>IFERROR(VLOOKUP("Hg-206",$A$4:$R$32,13)/$B63,0)</f>
        <v>2.99584330390926E-6</v>
      </c>
      <c r="N63" s="71">
        <f>IFERROR(VLOOKUP("Hg-206",$A$4:$R$32,14)/$B63,0)</f>
        <v>1.1646692833802858E-8</v>
      </c>
      <c r="O63" s="71">
        <f>IFERROR(VLOOKUP("Hg-206",$A$4:$R$32,15)/$B63,0)</f>
        <v>5.8141549393548266E-6</v>
      </c>
      <c r="P63" s="71">
        <f>IFERROR(VLOOKUP("Hg-206",$A$4:$R$32,16)/$B63,0)</f>
        <v>1.7046522939325519E-6</v>
      </c>
      <c r="Q63" s="71">
        <f>IFERROR(VLOOKUP("Hg-206",$A$4:$R$32,17)/$B63,0)</f>
        <v>2.1854859931242301E-6</v>
      </c>
      <c r="R63" s="95">
        <f t="shared" si="29"/>
        <v>289086687130.42883</v>
      </c>
    </row>
    <row r="64" spans="1:18">
      <c r="A64" s="31" t="s">
        <v>203</v>
      </c>
      <c r="B64" s="32">
        <v>1.339E-6</v>
      </c>
      <c r="C64" s="70">
        <f>IFERROR(VLOOKUP("Tl-206",$A$4:$L$32,3)/$B64,0)</f>
        <v>76649841715.697037</v>
      </c>
      <c r="D64" s="71">
        <f>IFERROR(VLOOKUP("Tl-206",$A$4:$L$32,4)/$B64,0)</f>
        <v>13944995632.350283</v>
      </c>
      <c r="E64" s="71">
        <f>IFERROR(VLOOKUP("Tl-206",$A$4:$L$32,5)/$B64,0)</f>
        <v>32995430942.980568</v>
      </c>
      <c r="F64" s="71">
        <f>IFERROR(VLOOKUP("Tl-206",$A$4:$L$32,6)/$B64,0)</f>
        <v>24298126062.801258</v>
      </c>
      <c r="G64" s="71">
        <f>IFERROR(VLOOKUP("Tl-206",$A$4:$L$32,7)/$B64,0)</f>
        <v>111009587714.784</v>
      </c>
      <c r="H64" s="70">
        <f>IFERROR(VLOOKUP("Tl-206",$A$4:$L$32,8)/$B64,0)</f>
        <v>2836044143.4807935</v>
      </c>
      <c r="I64" s="71">
        <f>IFERROR(VLOOKUP("Tl-206",$A$4:$L$32,9)/$B64,0)</f>
        <v>515964838.39696103</v>
      </c>
      <c r="J64" s="71">
        <f>IFERROR(VLOOKUP("Tl-206",$A$4:$L$32,10)/$B64,0)</f>
        <v>1220830944.8902822</v>
      </c>
      <c r="K64" s="71">
        <f>IFERROR(VLOOKUP("Tl-206",$A$4:$L$32,11)/$B64,0)</f>
        <v>899030664.3236475</v>
      </c>
      <c r="L64" s="71">
        <f>IFERROR(VLOOKUP("Tl-206",$A$4:$L$32,12)/$B64,0)</f>
        <v>4107354745.4470119</v>
      </c>
      <c r="M64" s="70">
        <f>IFERROR(VLOOKUP("Tl-206",$A$4:$R$32,13)/$B64,0)</f>
        <v>3.5328927044668866E-4</v>
      </c>
      <c r="N64" s="71">
        <f>IFERROR(VLOOKUP("Tl-206",$A$4:$R$32,14)/$B64,0)</f>
        <v>6.4274331467097794E-8</v>
      </c>
      <c r="O64" s="71">
        <f>IFERROR(VLOOKUP("Tl-206",$A$4:$R$32,15)/$B64,0)</f>
        <v>1.5208031047417661E-4</v>
      </c>
      <c r="P64" s="71">
        <f>IFERROR(VLOOKUP("Tl-206",$A$4:$R$32,16)/$B64,0)</f>
        <v>1.1199328058352359E-4</v>
      </c>
      <c r="Q64" s="71">
        <f>IFERROR(VLOOKUP("Tl-206",$A$4:$R$32,17)/$B64,0)</f>
        <v>5.1165788967718392E-4</v>
      </c>
      <c r="R64" s="95">
        <f t="shared" ref="R64:R68" si="33">IF(D64&lt;&gt;".",D64*2.22*100,".")</f>
        <v>3095789030381.7632</v>
      </c>
    </row>
    <row r="65" spans="1:18">
      <c r="A65" s="30" t="s">
        <v>31</v>
      </c>
      <c r="B65" s="30" t="s">
        <v>59</v>
      </c>
      <c r="C65" s="76">
        <f>IFERROR(1/SUM(1/C66,1/C69,1/C70,1/C71,1/C72,1/C73,1/C74,1/C75,1/C76,1/C77,1/C78),0)</f>
        <v>0.12890566082865343</v>
      </c>
      <c r="D65" s="77">
        <f t="shared" ref="D65:G65" si="34">IFERROR(1/SUM(1/D66,1/D69,1/D70,1/D71,1/D72,1/D73,1/D74,1/D75,1/D76,1/D77,1/D78),0)</f>
        <v>1.0302600105649955</v>
      </c>
      <c r="E65" s="77">
        <f t="shared" si="34"/>
        <v>0.37496140762071889</v>
      </c>
      <c r="F65" s="77">
        <f t="shared" si="34"/>
        <v>9.320442233722917E-2</v>
      </c>
      <c r="G65" s="78">
        <f t="shared" si="34"/>
        <v>7.4744878653947008E-2</v>
      </c>
      <c r="H65" s="76">
        <f>IFERROR(1/SUM(1/H66,1/H69,1/H70,1/H71,1/H72,1/H73,1/H74,1/H75,1/H76,1/H77,1/H78),0)</f>
        <v>4.7695094506601818E-3</v>
      </c>
      <c r="I65" s="77">
        <f t="shared" ref="I65:L65" si="35">IFERROR(1/SUM(1/I66,1/I69,1/I70,1/I71,1/I72,1/I73,1/I74,1/I75,1/I76,1/I77,1/I78),0)</f>
        <v>3.8119620390904864E-2</v>
      </c>
      <c r="J65" s="77">
        <f t="shared" si="35"/>
        <v>1.3873572081966616E-2</v>
      </c>
      <c r="K65" s="77">
        <f t="shared" si="35"/>
        <v>3.4485636264774823E-3</v>
      </c>
      <c r="L65" s="78">
        <f t="shared" si="35"/>
        <v>2.7655605101960419E-3</v>
      </c>
      <c r="M65" s="20">
        <f>IFERROR(C65*VLOOKUP("Rn-222",Isospec!$A$3:$R$31,3)*VLOOKUP("Rn-222",Isospec!$A$3:$R$31,6)*SSLgram,".")</f>
        <v>8.3936571414042167E-13</v>
      </c>
      <c r="N65" s="19">
        <f>IFERROR(D65*VLOOKUP("Rn-222",Isospec!$A$3:$R$31,3)*VLOOKUP("Rn-222",Isospec!$A$3:$R$31,6)*SSLcm_m,".")</f>
        <v>6.7085101147550545E-15</v>
      </c>
      <c r="O65" s="19">
        <f>IFERROR(E65*VLOOKUP("Rn-222",Isospec!$A$3:$R$31,3)*VLOOKUP("Rn-222",Isospec!$A$3:$R$31,6)*SSLgram,".")</f>
        <v>2.4415510355360879E-12</v>
      </c>
      <c r="P65" s="19">
        <f>IFERROR(F65*VLOOKUP("Rn-222",Isospec!$A$3:$R$31,3)*VLOOKUP("Rn-222",Isospec!$A$3:$R$31,6)*SSLgram,".")</f>
        <v>6.0689806803848388E-13</v>
      </c>
      <c r="Q65" s="21">
        <f>IFERROR(G65*VLOOKUP("Rn-222",Isospec!$A$3:$R$31,3)*VLOOKUP("Rn-222",Isospec!$A$3:$R$31,6)*SSLgram,".")</f>
        <v>4.8669925002831055E-13</v>
      </c>
      <c r="R65" s="94">
        <f t="shared" si="33"/>
        <v>228.71772234542905</v>
      </c>
    </row>
    <row r="66" spans="1:18">
      <c r="A66" s="31" t="s">
        <v>191</v>
      </c>
      <c r="B66" s="32">
        <v>1</v>
      </c>
      <c r="C66" s="70">
        <f>IFERROR(VLOOKUP("Rn-222",$A$4:$L$32,3)/$B66,0)</f>
        <v>883809.6836997288</v>
      </c>
      <c r="D66" s="71">
        <f>IFERROR(VLOOKUP("Rn-222",$A$4:$L$32,4)/$B66,0)</f>
        <v>7953908.9111111956</v>
      </c>
      <c r="E66" s="71">
        <f>IFERROR(VLOOKUP("Rn-222",$A$4:$L$32,5)/$B66,0)</f>
        <v>3043609.4492474725</v>
      </c>
      <c r="F66" s="71">
        <f>IFERROR(VLOOKUP("Rn-222",$A$4:$L$32,6)/$B66,0)</f>
        <v>779383.45325324591</v>
      </c>
      <c r="G66" s="71">
        <f>IFERROR(VLOOKUP("Rn-222",$A$4:$L$32,7)/$B66,0)</f>
        <v>514549.33415515145</v>
      </c>
      <c r="H66" s="70">
        <f>IFERROR(VLOOKUP("Rn-222",$A$4:$L$32,8)/$B66,0)</f>
        <v>32700.958296889999</v>
      </c>
      <c r="I66" s="71">
        <f>IFERROR(VLOOKUP("Rn-222",$A$4:$L$32,9)/$B66,0)</f>
        <v>294294.62971111451</v>
      </c>
      <c r="J66" s="71">
        <f>IFERROR(VLOOKUP("Rn-222",$A$4:$L$32,10)/$B66,0)</f>
        <v>112613.5496221566</v>
      </c>
      <c r="K66" s="71">
        <f>IFERROR(VLOOKUP("Rn-222",$A$4:$L$32,11)/$B66,0)</f>
        <v>28837.187770370128</v>
      </c>
      <c r="L66" s="71">
        <f>IFERROR(VLOOKUP("Rn-222",$A$4:$L$32,12)/$B66,0)</f>
        <v>19038.325363740623</v>
      </c>
      <c r="M66" s="70">
        <f>IFERROR(VLOOKUP("Rn-222",$A$4:$R$32,13)/$B66,0)</f>
        <v>5.7549027835862529E-6</v>
      </c>
      <c r="N66" s="71">
        <f>IFERROR(VLOOKUP("Rn-222",$A$4:$R$32,14)/$B66,0)</f>
        <v>5.1791662138538945E-8</v>
      </c>
      <c r="O66" s="71">
        <f>IFERROR(VLOOKUP("Rn-222",$A$4:$R$32,15)/$B66,0)</f>
        <v>1.9818380376079463E-5</v>
      </c>
      <c r="P66" s="71">
        <f>IFERROR(VLOOKUP("Rn-222",$A$4:$R$32,16)/$B66,0)</f>
        <v>5.0749342164166969E-6</v>
      </c>
      <c r="Q66" s="71">
        <f>IFERROR(VLOOKUP("Rn-222",$A$4:$R$32,17)/$B66,0)</f>
        <v>3.3504740330815219E-6</v>
      </c>
      <c r="R66" s="95">
        <f t="shared" si="33"/>
        <v>1765767778.2666855</v>
      </c>
    </row>
    <row r="67" spans="1:18">
      <c r="A67" s="31" t="s">
        <v>192</v>
      </c>
      <c r="B67" s="32">
        <v>1</v>
      </c>
      <c r="C67" s="70">
        <f>IFERROR(VLOOKUP("Po-218",$A$4:$L$32,3)/$B67,0)</f>
        <v>0</v>
      </c>
      <c r="D67" s="71">
        <f>IFERROR(VLOOKUP("Po-218",$A$4:$L$32,4)/$B67,0)</f>
        <v>0</v>
      </c>
      <c r="E67" s="71">
        <f>IFERROR(VLOOKUP("Po-218",$A$4:$L$32,5)/$B67,0)</f>
        <v>0</v>
      </c>
      <c r="F67" s="71">
        <f>IFERROR(VLOOKUP("Po-218",$A$4:$L$32,6)/$B67,0)</f>
        <v>0</v>
      </c>
      <c r="G67" s="71">
        <f>IFERROR(VLOOKUP("Po-218",$A$4:$L$32,7)/$B67,0)</f>
        <v>0</v>
      </c>
      <c r="H67" s="70">
        <f>IFERROR(VLOOKUP("Po-218",$A$4:$L$32,8)/$B67,0)</f>
        <v>0</v>
      </c>
      <c r="I67" s="71">
        <f>IFERROR(VLOOKUP("Po-218",$A$4:$L$32,9)/$B67,0)</f>
        <v>0</v>
      </c>
      <c r="J67" s="71">
        <f>IFERROR(VLOOKUP("Po-218",$A$4:$L$32,10)/$B67,0)</f>
        <v>0</v>
      </c>
      <c r="K67" s="71">
        <f>IFERROR(VLOOKUP("Po-218",$A$4:$L$32,11)/$B67,0)</f>
        <v>0</v>
      </c>
      <c r="L67" s="71">
        <f>IFERROR(VLOOKUP("Po-218",$A$4:$L$32,12)/$B67,0)</f>
        <v>0</v>
      </c>
      <c r="M67" s="70">
        <f>IFERROR(VLOOKUP("Po-218",$A$4:$R$32,13)/$B67,0)</f>
        <v>0</v>
      </c>
      <c r="N67" s="71">
        <f>IFERROR(VLOOKUP("Po-218",$A$4:$R$32,14)/$B67,0)</f>
        <v>0</v>
      </c>
      <c r="O67" s="71">
        <f>IFERROR(VLOOKUP("Po-218",$A$4:$R$32,15)/$B67,0)</f>
        <v>0</v>
      </c>
      <c r="P67" s="71">
        <f>IFERROR(VLOOKUP("Po-218",$A$4:$R$32,16)/$B67,0)</f>
        <v>0</v>
      </c>
      <c r="Q67" s="71">
        <f>IFERROR(VLOOKUP("Po-218",$A$4:$R$32,17)/$B67,0)</f>
        <v>0</v>
      </c>
      <c r="R67" s="95">
        <f t="shared" si="33"/>
        <v>0</v>
      </c>
    </row>
    <row r="68" spans="1:18">
      <c r="A68" s="31" t="s">
        <v>194</v>
      </c>
      <c r="B68" s="32">
        <v>2.0000000000000001E-4</v>
      </c>
      <c r="C68" s="70">
        <f>IFERROR(VLOOKUP("At-218",$A$4:$L$32,3)/$B68,0)</f>
        <v>0</v>
      </c>
      <c r="D68" s="71">
        <f>IFERROR(VLOOKUP("At-218",$A$4:$L$32,4)/$B68,0)</f>
        <v>0</v>
      </c>
      <c r="E68" s="71">
        <f>IFERROR(VLOOKUP("At-218",$A$4:$L$32,5)/$B68,0)</f>
        <v>0</v>
      </c>
      <c r="F68" s="71">
        <f>IFERROR(VLOOKUP("At-218",$A$4:$L$32,6)/$B68,0)</f>
        <v>0</v>
      </c>
      <c r="G68" s="71">
        <f>IFERROR(VLOOKUP("At-218",$A$4:$L$32,7)/$B68,0)</f>
        <v>0</v>
      </c>
      <c r="H68" s="70">
        <f>IFERROR(VLOOKUP("At-218",$A$4:$L$32,8)/$B68,0)</f>
        <v>0</v>
      </c>
      <c r="I68" s="71">
        <f>IFERROR(VLOOKUP("At-218",$A$4:$L$32,9)/$B68,0)</f>
        <v>0</v>
      </c>
      <c r="J68" s="71">
        <f>IFERROR(VLOOKUP("At-218",$A$4:$L$32,10)/$B68,0)</f>
        <v>0</v>
      </c>
      <c r="K68" s="71">
        <f>IFERROR(VLOOKUP("At-218",$A$4:$L$32,11)/$B68,0)</f>
        <v>0</v>
      </c>
      <c r="L68" s="71">
        <f>IFERROR(VLOOKUP("At-218",$A$4:$L$32,12)/$B68,0)</f>
        <v>0</v>
      </c>
      <c r="M68" s="70">
        <f>IFERROR(VLOOKUP("At-218",$A$4:$R$32,13)/$B68,0)</f>
        <v>0</v>
      </c>
      <c r="N68" s="71">
        <f>IFERROR(VLOOKUP("At-218",$A$4:$R$32,14)/$B68,0)</f>
        <v>0</v>
      </c>
      <c r="O68" s="71">
        <f>IFERROR(VLOOKUP("At-218",$A$4:$R$32,15)/$B68,0)</f>
        <v>0</v>
      </c>
      <c r="P68" s="71">
        <f>IFERROR(VLOOKUP("At-218",$A$4:$R$32,16)/$B68,0)</f>
        <v>0</v>
      </c>
      <c r="Q68" s="71">
        <f>IFERROR(VLOOKUP("At-218",$A$4:$R$32,17)/$B68,0)</f>
        <v>0</v>
      </c>
      <c r="R68" s="95">
        <f t="shared" si="33"/>
        <v>0</v>
      </c>
    </row>
    <row r="69" spans="1:18">
      <c r="A69" s="31" t="s">
        <v>196</v>
      </c>
      <c r="B69" s="32">
        <v>1.9999999999999999E-7</v>
      </c>
      <c r="C69" s="70">
        <f>IFERROR(VLOOKUP("Rn-218",$A$4:$L$32,3)/$B69,0)</f>
        <v>1352200337237.959</v>
      </c>
      <c r="D69" s="71">
        <f>IFERROR(VLOOKUP("Rn-218",$A$4:$L$32,4)/$B69,0)</f>
        <v>12979799611447.803</v>
      </c>
      <c r="E69" s="71">
        <f>IFERROR(VLOOKUP("Rn-218",$A$4:$L$32,5)/$B69,0)</f>
        <v>4617866408874.5029</v>
      </c>
      <c r="F69" s="71">
        <f>IFERROR(VLOOKUP("Rn-218",$A$4:$L$32,6)/$B69,0)</f>
        <v>1033133372195.4734</v>
      </c>
      <c r="G69" s="71">
        <f>IFERROR(VLOOKUP("Rn-218",$A$4:$L$32,7)/$B69,0)</f>
        <v>698449480367.30005</v>
      </c>
      <c r="H69" s="70">
        <f>IFERROR(VLOOKUP("Rn-218",$A$4:$L$32,8)/$B69,0)</f>
        <v>50031412477.804535</v>
      </c>
      <c r="I69" s="71">
        <f>IFERROR(VLOOKUP("Rn-218",$A$4:$L$32,9)/$B69,0)</f>
        <v>480252585623.56921</v>
      </c>
      <c r="J69" s="71">
        <f>IFERROR(VLOOKUP("Rn-218",$A$4:$L$32,10)/$B69,0)</f>
        <v>170861057128.35678</v>
      </c>
      <c r="K69" s="71">
        <f>IFERROR(VLOOKUP("Rn-218",$A$4:$L$32,11)/$B69,0)</f>
        <v>38225934771.232552</v>
      </c>
      <c r="L69" s="71">
        <f>IFERROR(VLOOKUP("Rn-218",$A$4:$L$32,12)/$B69,0)</f>
        <v>25842630773.590126</v>
      </c>
      <c r="M69" s="70">
        <f>IFERROR(VLOOKUP("Rn-218",$A$4:$R$32,13)/$B69,0)</f>
        <v>9.1604540857283056E-7</v>
      </c>
      <c r="N69" s="71">
        <f>IFERROR(VLOOKUP("Rn-218",$A$4:$R$32,14)/$B69,0)</f>
        <v>8.7931392344933019E-9</v>
      </c>
      <c r="O69" s="71">
        <f>IFERROR(VLOOKUP("Rn-218",$A$4:$R$32,15)/$B69,0)</f>
        <v>3.1283643442160826E-6</v>
      </c>
      <c r="P69" s="71">
        <f>IFERROR(VLOOKUP("Rn-218",$A$4:$R$32,16)/$B69,0)</f>
        <v>6.9989413253376698E-7</v>
      </c>
      <c r="Q69" s="71">
        <f>IFERROR(VLOOKUP("Rn-218",$A$4:$R$32,17)/$B69,0)</f>
        <v>4.731632007409795E-7</v>
      </c>
      <c r="R69" s="95">
        <f>IF(D69&lt;&gt;".",D69*2.22*100,".")</f>
        <v>2881515513741412.5</v>
      </c>
    </row>
    <row r="70" spans="1:18">
      <c r="A70" s="31" t="s">
        <v>193</v>
      </c>
      <c r="B70" s="32">
        <v>0.99980000000000002</v>
      </c>
      <c r="C70" s="70">
        <f>IFERROR(VLOOKUP("Pb-214",$A$4:$L$32,3)/$B70,0)</f>
        <v>1.4976375330235603</v>
      </c>
      <c r="D70" s="71">
        <f>IFERROR(VLOOKUP("Pb-214",$A$4:$L$32,4)/$B70,0)</f>
        <v>6.5567364368738632</v>
      </c>
      <c r="E70" s="71">
        <f>IFERROR(VLOOKUP("Pb-214",$A$4:$L$32,5)/$B70,0)</f>
        <v>2.2866884314635336</v>
      </c>
      <c r="F70" s="71">
        <f>IFERROR(VLOOKUP("Pb-214",$A$4:$L$32,6)/$B70,0)</f>
        <v>0.73133530537700853</v>
      </c>
      <c r="G70" s="71">
        <f>IFERROR(VLOOKUP("Pb-214",$A$4:$L$32,7)/$B70,0)</f>
        <v>1.056288800399185</v>
      </c>
      <c r="H70" s="70">
        <f>IFERROR(VLOOKUP("Pb-214",$A$4:$L$32,8)/$B70,0)</f>
        <v>5.5412588721871783E-2</v>
      </c>
      <c r="I70" s="71">
        <f>IFERROR(VLOOKUP("Pb-214",$A$4:$L$32,9)/$B70,0)</f>
        <v>0.2425992481643332</v>
      </c>
      <c r="J70" s="71">
        <f>IFERROR(VLOOKUP("Pb-214",$A$4:$L$32,10)/$B70,0)</f>
        <v>8.4607471964150818E-2</v>
      </c>
      <c r="K70" s="71">
        <f>IFERROR(VLOOKUP("Pb-214",$A$4:$L$32,11)/$B70,0)</f>
        <v>2.7059406298949342E-2</v>
      </c>
      <c r="L70" s="71">
        <f>IFERROR(VLOOKUP("Pb-214",$A$4:$L$32,12)/$B70,0)</f>
        <v>3.908268561476988E-2</v>
      </c>
      <c r="M70" s="70">
        <f>IFERROR(VLOOKUP("Pb-214",$A$4:$R$32,13)/$B70,0)</f>
        <v>4.5757043725857318E-14</v>
      </c>
      <c r="N70" s="71">
        <f>IFERROR(VLOOKUP("Pb-214",$A$4:$R$32,14)/$B70,0)</f>
        <v>2.0032676079856203E-16</v>
      </c>
      <c r="O70" s="71">
        <f>IFERROR(VLOOKUP("Pb-214",$A$4:$R$32,15)/$B70,0)</f>
        <v>6.9864770506017318E-14</v>
      </c>
      <c r="P70" s="71">
        <f>IFERROR(VLOOKUP("Pb-214",$A$4:$R$32,16)/$B70,0)</f>
        <v>2.2344352894815276E-14</v>
      </c>
      <c r="Q70" s="71">
        <f>IFERROR(VLOOKUP("Pb-214",$A$4:$R$32,17)/$B70,0)</f>
        <v>3.2272597181389235E-14</v>
      </c>
      <c r="R70" s="95">
        <f>IF(D70&lt;&gt;".",D70*2.22*100,".")</f>
        <v>1455.5954889859977</v>
      </c>
    </row>
    <row r="71" spans="1:18">
      <c r="A71" s="31" t="s">
        <v>195</v>
      </c>
      <c r="B71" s="32">
        <v>0.99999979999999999</v>
      </c>
      <c r="C71" s="70">
        <f>IFERROR(VLOOKUP("Bi-214",$A$4:$L$32,3)/$B71,0)</f>
        <v>0.14118234631694665</v>
      </c>
      <c r="D71" s="71">
        <f>IFERROR(VLOOKUP("Bi-214",$A$4:$L$32,4)/$B71,0)</f>
        <v>1.224566590032935</v>
      </c>
      <c r="E71" s="71">
        <f>IFERROR(VLOOKUP("Bi-214",$A$4:$L$32,5)/$B71,0)</f>
        <v>0.44955619641954903</v>
      </c>
      <c r="F71" s="71">
        <f>IFERROR(VLOOKUP("Bi-214",$A$4:$L$32,6)/$B71,0)</f>
        <v>0.1069725731368478</v>
      </c>
      <c r="G71" s="71">
        <f>IFERROR(VLOOKUP("Bi-214",$A$4:$L$32,7)/$B71,0)</f>
        <v>8.0502265327461603E-2</v>
      </c>
      <c r="H71" s="70">
        <f>IFERROR(VLOOKUP("Bi-214",$A$4:$L$32,8)/$B71,0)</f>
        <v>5.2237468137270307E-3</v>
      </c>
      <c r="I71" s="71">
        <f>IFERROR(VLOOKUP("Bi-214",$A$4:$L$32,9)/$B71,0)</f>
        <v>4.5308963831218636E-2</v>
      </c>
      <c r="J71" s="71">
        <f>IFERROR(VLOOKUP("Bi-214",$A$4:$L$32,10)/$B71,0)</f>
        <v>1.6633579267523332E-2</v>
      </c>
      <c r="K71" s="71">
        <f>IFERROR(VLOOKUP("Bi-214",$A$4:$L$32,11)/$B71,0)</f>
        <v>3.9579852060633728E-3</v>
      </c>
      <c r="L71" s="71">
        <f>IFERROR(VLOOKUP("Bi-214",$A$4:$L$32,12)/$B71,0)</f>
        <v>2.9785838171160822E-3</v>
      </c>
      <c r="M71" s="70">
        <f>IFERROR(VLOOKUP("Bi-214",$A$4:$R$32,13)/$B71,0)</f>
        <v>3.2029482345338294E-15</v>
      </c>
      <c r="N71" s="71">
        <f>IFERROR(VLOOKUP("Bi-214",$A$4:$R$32,14)/$B71,0)</f>
        <v>2.778125948417038E-17</v>
      </c>
      <c r="O71" s="71">
        <f>IFERROR(VLOOKUP("Bi-214",$A$4:$R$32,15)/$B71,0)</f>
        <v>1.0198904205864588E-14</v>
      </c>
      <c r="P71" s="71">
        <f>IFERROR(VLOOKUP("Bi-214",$A$4:$R$32,16)/$B71,0)</f>
        <v>2.4268445964414514E-15</v>
      </c>
      <c r="Q71" s="71">
        <f>IFERROR(VLOOKUP("Bi-214",$A$4:$R$32,17)/$B71,0)</f>
        <v>1.8263231581923141E-15</v>
      </c>
      <c r="R71" s="95">
        <f t="shared" ref="R71:R75" si="36">IF(D71&lt;&gt;".",D71*2.22*100,".")</f>
        <v>271.8537829873116</v>
      </c>
    </row>
    <row r="72" spans="1:18">
      <c r="A72" s="31" t="s">
        <v>197</v>
      </c>
      <c r="B72" s="32">
        <v>0.99979000004200003</v>
      </c>
      <c r="C72" s="70">
        <f>IFERROR(VLOOKUP("Po-214",$A$4:$L$32,3)/$B72,0)</f>
        <v>36625793.862776384</v>
      </c>
      <c r="D72" s="71">
        <f>IFERROR(VLOOKUP("Po-214",$A$4:$L$32,4)/$B72,0)</f>
        <v>288037214.35514063</v>
      </c>
      <c r="E72" s="71">
        <f>IFERROR(VLOOKUP("Po-214",$A$4:$L$32,5)/$B72,0)</f>
        <v>95925674.985214889</v>
      </c>
      <c r="F72" s="71">
        <f>IFERROR(VLOOKUP("Po-214",$A$4:$L$32,6)/$B72,0)</f>
        <v>21892782.429514613</v>
      </c>
      <c r="G72" s="71">
        <f>IFERROR(VLOOKUP("Po-214",$A$4:$L$32,7)/$B72,0)</f>
        <v>20647203.87875687</v>
      </c>
      <c r="H72" s="70">
        <f>IFERROR(VLOOKUP("Po-214",$A$4:$L$32,8)/$B72,0)</f>
        <v>1355154.3729227276</v>
      </c>
      <c r="I72" s="71">
        <f>IFERROR(VLOOKUP("Po-214",$A$4:$L$32,9)/$B72,0)</f>
        <v>10657376.931140214</v>
      </c>
      <c r="J72" s="71">
        <f>IFERROR(VLOOKUP("Po-214",$A$4:$L$32,10)/$B72,0)</f>
        <v>3549249.9744529547</v>
      </c>
      <c r="K72" s="71">
        <f>IFERROR(VLOOKUP("Po-214",$A$4:$L$32,11)/$B72,0)</f>
        <v>810032.94989204151</v>
      </c>
      <c r="L72" s="71">
        <f>IFERROR(VLOOKUP("Po-214",$A$4:$L$32,12)/$B72,0)</f>
        <v>763946.54351400502</v>
      </c>
      <c r="M72" s="70">
        <f>IFERROR(VLOOKUP("Po-214",$A$4:$R$32,13)/$B72,0)</f>
        <v>1.1433779378003418E-13</v>
      </c>
      <c r="N72" s="71">
        <f>IFERROR(VLOOKUP("Po-214",$A$4:$R$32,14)/$B72,0)</f>
        <v>8.9918978246051531E-16</v>
      </c>
      <c r="O72" s="71">
        <f>IFERROR(VLOOKUP("Po-214",$A$4:$R$32,15)/$B72,0)</f>
        <v>2.9945917584101938E-13</v>
      </c>
      <c r="P72" s="71">
        <f>IFERROR(VLOOKUP("Po-214",$A$4:$R$32,16)/$B72,0)</f>
        <v>6.8344523864123741E-14</v>
      </c>
      <c r="Q72" s="71">
        <f>IFERROR(VLOOKUP("Po-214",$A$4:$R$32,17)/$B72,0)</f>
        <v>6.4456097472413114E-14</v>
      </c>
      <c r="R72" s="95">
        <f t="shared" si="36"/>
        <v>63944261586.841225</v>
      </c>
    </row>
    <row r="73" spans="1:18">
      <c r="A73" s="31" t="s">
        <v>198</v>
      </c>
      <c r="B73" s="32">
        <v>2.0999995799999999E-4</v>
      </c>
      <c r="C73" s="70">
        <f>IFERROR(VLOOKUP("Tl-210",$A$4:$L$32,3)/$B73,0)</f>
        <v>170.35348731663782</v>
      </c>
      <c r="D73" s="71">
        <f>IFERROR(VLOOKUP("Tl-210",$A$4:$L$32,4)/$B73,0)</f>
        <v>1119.937839682693</v>
      </c>
      <c r="E73" s="71">
        <f>IFERROR(VLOOKUP("Tl-210",$A$4:$L$32,5)/$B73,0)</f>
        <v>382.53759528530748</v>
      </c>
      <c r="F73" s="71">
        <f>IFERROR(VLOOKUP("Tl-210",$A$4:$L$32,6)/$B73,0)</f>
        <v>100.92793080552433</v>
      </c>
      <c r="G73" s="71">
        <f>IFERROR(VLOOKUP("Tl-210",$A$4:$L$32,7)/$B73,0)</f>
        <v>102.50746766564048</v>
      </c>
      <c r="H73" s="70">
        <f>IFERROR(VLOOKUP("Tl-210",$A$4:$L$32,8)/$B73,0)</f>
        <v>6.3030790307156064</v>
      </c>
      <c r="I73" s="71">
        <f>IFERROR(VLOOKUP("Tl-210",$A$4:$L$32,9)/$B73,0)</f>
        <v>41.437700068259687</v>
      </c>
      <c r="J73" s="71">
        <f>IFERROR(VLOOKUP("Tl-210",$A$4:$L$32,10)/$B73,0)</f>
        <v>14.153891025556389</v>
      </c>
      <c r="K73" s="71">
        <f>IFERROR(VLOOKUP("Tl-210",$A$4:$L$32,11)/$B73,0)</f>
        <v>3.7343334398044039</v>
      </c>
      <c r="L73" s="71">
        <f>IFERROR(VLOOKUP("Tl-210",$A$4:$L$32,12)/$B73,0)</f>
        <v>3.7927763036287017</v>
      </c>
      <c r="M73" s="70">
        <f>IFERROR(VLOOKUP("Tl-210",$A$4:$R$32,13)/$B73,0)</f>
        <v>2.4775153292396492E-13</v>
      </c>
      <c r="N73" s="71">
        <f>IFERROR(VLOOKUP("Tl-210",$A$4:$R$32,14)/$B73,0)</f>
        <v>1.6287680453832527E-15</v>
      </c>
      <c r="O73" s="71">
        <f>IFERROR(VLOOKUP("Tl-210",$A$4:$R$32,15)/$B73,0)</f>
        <v>5.5633892282360068E-13</v>
      </c>
      <c r="P73" s="71">
        <f>IFERROR(VLOOKUP("Tl-210",$A$4:$R$32,16)/$B73,0)</f>
        <v>1.4678331489296351E-13</v>
      </c>
      <c r="Q73" s="71">
        <f>IFERROR(VLOOKUP("Tl-210",$A$4:$R$32,17)/$B73,0)</f>
        <v>1.490804952123561E-13</v>
      </c>
      <c r="R73" s="95">
        <f t="shared" si="36"/>
        <v>248626.2004095579</v>
      </c>
    </row>
    <row r="74" spans="1:18">
      <c r="A74" s="31" t="s">
        <v>199</v>
      </c>
      <c r="B74" s="32">
        <v>1</v>
      </c>
      <c r="C74" s="70">
        <f>IFERROR(VLOOKUP("Pb-210",$A$4:$L$32,3)/$B74,0)</f>
        <v>1017.2385518649644</v>
      </c>
      <c r="D74" s="71">
        <f>IFERROR(VLOOKUP("Pb-210",$A$4:$L$32,4)/$B74,0)</f>
        <v>1651.9410530782845</v>
      </c>
      <c r="E74" s="71">
        <f>IFERROR(VLOOKUP("Pb-210",$A$4:$L$32,5)/$B74,0)</f>
        <v>385.05503655092582</v>
      </c>
      <c r="F74" s="71">
        <f>IFERROR(VLOOKUP("Pb-210",$A$4:$L$32,6)/$B74,0)</f>
        <v>274.5138117101568</v>
      </c>
      <c r="G74" s="71">
        <f>IFERROR(VLOOKUP("Pb-210",$A$4:$L$32,7)/$B74,0)</f>
        <v>2745.8410726711231</v>
      </c>
      <c r="H74" s="70">
        <f>IFERROR(VLOOKUP("Pb-210",$A$4:$L$32,8)/$B74,0)</f>
        <v>37.637826419003723</v>
      </c>
      <c r="I74" s="71">
        <f>IFERROR(VLOOKUP("Pb-210",$A$4:$L$32,9)/$B74,0)</f>
        <v>61.121818963896587</v>
      </c>
      <c r="J74" s="71">
        <f>IFERROR(VLOOKUP("Pb-210",$A$4:$L$32,10)/$B74,0)</f>
        <v>14.247036352384269</v>
      </c>
      <c r="K74" s="71">
        <f>IFERROR(VLOOKUP("Pb-210",$A$4:$L$32,11)/$B74,0)</f>
        <v>10.157011033275811</v>
      </c>
      <c r="L74" s="71">
        <f>IFERROR(VLOOKUP("Pb-210",$A$4:$L$32,12)/$B74,0)</f>
        <v>101.59611968883166</v>
      </c>
      <c r="M74" s="70">
        <f>IFERROR(VLOOKUP("Pb-210",$A$4:$R$32,13)/$B74,0)</f>
        <v>1.3278625160624496E-5</v>
      </c>
      <c r="N74" s="71">
        <f>IFERROR(VLOOKUP("Pb-210",$A$4:$R$32,14)/$B74,0)</f>
        <v>2.1563777730462697E-8</v>
      </c>
      <c r="O74" s="71">
        <f>IFERROR(VLOOKUP("Pb-210",$A$4:$R$32,15)/$B74,0)</f>
        <v>5.0263544251211638E-6</v>
      </c>
      <c r="P74" s="71">
        <f>IFERROR(VLOOKUP("Pb-210",$A$4:$R$32,16)/$B74,0)</f>
        <v>3.5833934925397027E-6</v>
      </c>
      <c r="Q74" s="71">
        <f>IFERROR(VLOOKUP("Pb-210",$A$4:$R$32,17)/$B74,0)</f>
        <v>3.5843111026219769E-5</v>
      </c>
      <c r="R74" s="95">
        <f t="shared" si="36"/>
        <v>366730.91378337925</v>
      </c>
    </row>
    <row r="75" spans="1:18">
      <c r="A75" s="31" t="s">
        <v>200</v>
      </c>
      <c r="B75" s="32">
        <v>1</v>
      </c>
      <c r="C75" s="70">
        <f>IFERROR(VLOOKUP("Bi-210",$A$4:$L$32,3)/$B75,0)</f>
        <v>247883182.83295166</v>
      </c>
      <c r="D75" s="71">
        <f>IFERROR(VLOOKUP("Bi-210",$A$4:$L$32,4)/$B75,0)</f>
        <v>38549608.275206901</v>
      </c>
      <c r="E75" s="71">
        <f>IFERROR(VLOOKUP("Bi-210",$A$4:$L$32,5)/$B75,0)</f>
        <v>193959592.724841</v>
      </c>
      <c r="F75" s="71">
        <f>IFERROR(VLOOKUP("Bi-210",$A$4:$L$32,6)/$B75,0)</f>
        <v>110230208.632286</v>
      </c>
      <c r="G75" s="71">
        <f>IFERROR(VLOOKUP("Bi-210",$A$4:$L$32,7)/$B75,0)</f>
        <v>178919928.13290063</v>
      </c>
      <c r="H75" s="70">
        <f>IFERROR(VLOOKUP("Bi-210",$A$4:$L$32,8)/$B75,0)</f>
        <v>9171677.7648192216</v>
      </c>
      <c r="I75" s="71">
        <f>IFERROR(VLOOKUP("Bi-210",$A$4:$L$32,9)/$B75,0)</f>
        <v>1426335.5061826569</v>
      </c>
      <c r="J75" s="71">
        <f>IFERROR(VLOOKUP("Bi-210",$A$4:$L$32,10)/$B75,0)</f>
        <v>7176504.930819124</v>
      </c>
      <c r="K75" s="71">
        <f>IFERROR(VLOOKUP("Bi-210",$A$4:$L$32,11)/$B75,0)</f>
        <v>4078517.719394586</v>
      </c>
      <c r="L75" s="71">
        <f>IFERROR(VLOOKUP("Bi-210",$A$4:$L$32,12)/$B75,0)</f>
        <v>6620037.3409173302</v>
      </c>
      <c r="M75" s="70">
        <f>IFERROR(VLOOKUP("Bi-210",$A$4:$R$32,13)/$B75,0)</f>
        <v>2.0018393878861048E-3</v>
      </c>
      <c r="N75" s="71">
        <f>IFERROR(VLOOKUP("Bi-210",$A$4:$R$32,14)/$B75,0)</f>
        <v>3.1131649735550715E-7</v>
      </c>
      <c r="O75" s="71">
        <f>IFERROR(VLOOKUP("Bi-210",$A$4:$R$32,15)/$B75,0)</f>
        <v>1.5663666568158953E-3</v>
      </c>
      <c r="P75" s="71">
        <f>IFERROR(VLOOKUP("Bi-210",$A$4:$R$32,16)/$B75,0)</f>
        <v>8.9019017285943847E-4</v>
      </c>
      <c r="Q75" s="71">
        <f>IFERROR(VLOOKUP("Bi-210",$A$4:$R$32,17)/$B75,0)</f>
        <v>1.4449102812091994E-3</v>
      </c>
      <c r="R75" s="95">
        <f t="shared" si="36"/>
        <v>8558013037.095933</v>
      </c>
    </row>
    <row r="76" spans="1:18">
      <c r="A76" s="31" t="s">
        <v>202</v>
      </c>
      <c r="B76" s="32">
        <v>1</v>
      </c>
      <c r="C76" s="70">
        <f>IFERROR(VLOOKUP("Po-210",$A$4:$L$32,3)/$B76,0)</f>
        <v>2679917499.8324876</v>
      </c>
      <c r="D76" s="71">
        <f>IFERROR(VLOOKUP("Po-210",$A$4:$L$32,4)/$B76,0)</f>
        <v>21150197168.345898</v>
      </c>
      <c r="E76" s="71">
        <f>IFERROR(VLOOKUP("Po-210",$A$4:$L$32,5)/$B76,0)</f>
        <v>7039435745.1032133</v>
      </c>
      <c r="F76" s="71">
        <f>IFERROR(VLOOKUP("Po-210",$A$4:$L$32,6)/$B76,0)</f>
        <v>1602597630.6317658</v>
      </c>
      <c r="G76" s="71">
        <f>IFERROR(VLOOKUP("Po-210",$A$4:$L$32,7)/$B76,0)</f>
        <v>1519837434.9312439</v>
      </c>
      <c r="H76" s="70">
        <f>IFERROR(VLOOKUP("Po-210",$A$4:$L$32,8)/$B76,0)</f>
        <v>99156947.493802145</v>
      </c>
      <c r="I76" s="71">
        <f>IFERROR(VLOOKUP("Po-210",$A$4:$L$32,9)/$B76,0)</f>
        <v>782557295.22879899</v>
      </c>
      <c r="J76" s="71">
        <f>IFERROR(VLOOKUP("Po-210",$A$4:$L$32,10)/$B76,0)</f>
        <v>260459122.56881917</v>
      </c>
      <c r="K76" s="71">
        <f>IFERROR(VLOOKUP("Po-210",$A$4:$L$32,11)/$B76,0)</f>
        <v>59296112.333375394</v>
      </c>
      <c r="L76" s="71">
        <f>IFERROR(VLOOKUP("Po-210",$A$4:$L$32,12)/$B76,0)</f>
        <v>56233985.09245608</v>
      </c>
      <c r="M76" s="70">
        <f>IFERROR(VLOOKUP("Po-210",$A$4:$R$32,13)/$B76,0)</f>
        <v>0.59740198138796829</v>
      </c>
      <c r="N76" s="71">
        <f>IFERROR(VLOOKUP("Po-210",$A$4:$R$32,14)/$B76,0)</f>
        <v>4.7147606953967117E-3</v>
      </c>
      <c r="O76" s="71">
        <f>IFERROR(VLOOKUP("Po-210",$A$4:$R$32,15)/$B76,0)</f>
        <v>1.5692172845771604</v>
      </c>
      <c r="P76" s="71">
        <f>IFERROR(VLOOKUP("Po-210",$A$4:$R$32,16)/$B76,0)</f>
        <v>0.35724793765738072</v>
      </c>
      <c r="Q76" s="71">
        <f>IFERROR(VLOOKUP("Po-210",$A$4:$R$32,17)/$B76,0)</f>
        <v>0.33879919627088728</v>
      </c>
      <c r="R76" s="95">
        <f>IF(D76&lt;&gt;".",D76*2.22*100,".")</f>
        <v>4695343771372.79</v>
      </c>
    </row>
    <row r="77" spans="1:18">
      <c r="A77" s="31" t="s">
        <v>201</v>
      </c>
      <c r="B77" s="34">
        <v>1.9000000000000001E-8</v>
      </c>
      <c r="C77" s="70">
        <f>IFERROR(VLOOKUP("Hg-206",$A$4:$L$32,3)/$B77,0)</f>
        <v>334958952.82938135</v>
      </c>
      <c r="D77" s="71">
        <f>IFERROR(VLOOKUP("Hg-206",$A$4:$L$32,4)/$B77,0)</f>
        <v>1302192284.3713009</v>
      </c>
      <c r="E77" s="71">
        <f>IFERROR(VLOOKUP("Hg-206",$A$4:$L$32,5)/$B77,0)</f>
        <v>650068462.37010491</v>
      </c>
      <c r="F77" s="71">
        <f>IFERROR(VLOOKUP("Hg-206",$A$4:$L$32,6)/$B77,0)</f>
        <v>190593595.6559445</v>
      </c>
      <c r="G77" s="71">
        <f>IFERROR(VLOOKUP("Hg-206",$A$4:$L$32,7)/$B77,0)</f>
        <v>244354602.50038007</v>
      </c>
      <c r="H77" s="70">
        <f>IFERROR(VLOOKUP("Hg-206",$A$4:$L$32,8)/$B77,0)</f>
        <v>12393481.254687123</v>
      </c>
      <c r="I77" s="71">
        <f>IFERROR(VLOOKUP("Hg-206",$A$4:$L$32,9)/$B77,0)</f>
        <v>48181114.521738186</v>
      </c>
      <c r="J77" s="71">
        <f>IFERROR(VLOOKUP("Hg-206",$A$4:$L$32,10)/$B77,0)</f>
        <v>24052533.107693911</v>
      </c>
      <c r="K77" s="71">
        <f>IFERROR(VLOOKUP("Hg-206",$A$4:$L$32,11)/$B77,0)</f>
        <v>7051963.0392699521</v>
      </c>
      <c r="L77" s="71">
        <f>IFERROR(VLOOKUP("Hg-206",$A$4:$L$32,12)/$B77,0)</f>
        <v>9041120.2925140727</v>
      </c>
      <c r="M77" s="70">
        <f>IFERROR(VLOOKUP("Hg-206",$A$4:$R$32,13)/$B77,0)</f>
        <v>2.99584330390926E-6</v>
      </c>
      <c r="N77" s="71">
        <f>IFERROR(VLOOKUP("Hg-206",$A$4:$R$32,14)/$B77,0)</f>
        <v>1.1646692833802858E-8</v>
      </c>
      <c r="O77" s="71">
        <f>IFERROR(VLOOKUP("Hg-206",$A$4:$R$32,15)/$B77,0)</f>
        <v>5.8141549393548266E-6</v>
      </c>
      <c r="P77" s="71">
        <f>IFERROR(VLOOKUP("Hg-206",$A$4:$R$32,16)/$B77,0)</f>
        <v>1.7046522939325519E-6</v>
      </c>
      <c r="Q77" s="71">
        <f>IFERROR(VLOOKUP("Hg-206",$A$4:$R$32,17)/$B77,0)</f>
        <v>2.1854859931242301E-6</v>
      </c>
      <c r="R77" s="95">
        <f t="shared" ref="R77:R78" si="37">IF(D77&lt;&gt;".",D77*2.22*100,".")</f>
        <v>289086687130.42883</v>
      </c>
    </row>
    <row r="78" spans="1:18">
      <c r="A78" s="31" t="s">
        <v>203</v>
      </c>
      <c r="B78" s="32">
        <v>1.339E-6</v>
      </c>
      <c r="C78" s="70">
        <f>IFERROR(VLOOKUP("Tl-206",$A$4:$L$32,3)/$B78,0)</f>
        <v>76649841715.697037</v>
      </c>
      <c r="D78" s="71">
        <f>IFERROR(VLOOKUP("Tl-206",$A$4:$L$32,4)/$B78,0)</f>
        <v>13944995632.350283</v>
      </c>
      <c r="E78" s="71">
        <f>IFERROR(VLOOKUP("Tl-206",$A$4:$L$32,5)/$B78,0)</f>
        <v>32995430942.980568</v>
      </c>
      <c r="F78" s="71">
        <f>IFERROR(VLOOKUP("Tl-206",$A$4:$L$32,6)/$B78,0)</f>
        <v>24298126062.801258</v>
      </c>
      <c r="G78" s="71">
        <f>IFERROR(VLOOKUP("Tl-206",$A$4:$L$32,7)/$B78,0)</f>
        <v>111009587714.784</v>
      </c>
      <c r="H78" s="70">
        <f>IFERROR(VLOOKUP("Tl-206",$A$4:$L$32,8)/$B78,0)</f>
        <v>2836044143.4807935</v>
      </c>
      <c r="I78" s="71">
        <f>IFERROR(VLOOKUP("Tl-206",$A$4:$L$32,9)/$B78,0)</f>
        <v>515964838.39696103</v>
      </c>
      <c r="J78" s="71">
        <f>IFERROR(VLOOKUP("Tl-206",$A$4:$L$32,10)/$B78,0)</f>
        <v>1220830944.8902822</v>
      </c>
      <c r="K78" s="71">
        <f>IFERROR(VLOOKUP("Tl-206",$A$4:$L$32,11)/$B78,0)</f>
        <v>899030664.3236475</v>
      </c>
      <c r="L78" s="71">
        <f>IFERROR(VLOOKUP("Tl-206",$A$4:$L$32,12)/$B78,0)</f>
        <v>4107354745.4470119</v>
      </c>
      <c r="M78" s="70">
        <f>IFERROR(VLOOKUP("Tl-206",$A$4:$R$32,13)/$B78,0)</f>
        <v>3.5328927044668866E-4</v>
      </c>
      <c r="N78" s="71">
        <f>IFERROR(VLOOKUP("Tl-206",$A$4:$R$32,14)/$B78,0)</f>
        <v>6.4274331467097794E-8</v>
      </c>
      <c r="O78" s="71">
        <f>IFERROR(VLOOKUP("Tl-206",$A$4:$R$32,15)/$B78,0)</f>
        <v>1.5208031047417661E-4</v>
      </c>
      <c r="P78" s="71">
        <f>IFERROR(VLOOKUP("Tl-206",$A$4:$R$32,16)/$B78,0)</f>
        <v>1.1199328058352359E-4</v>
      </c>
      <c r="Q78" s="71">
        <f>IFERROR(VLOOKUP("Tl-206",$A$4:$R$32,17)/$B78,0)</f>
        <v>5.1165788967718392E-4</v>
      </c>
      <c r="R78" s="95">
        <f t="shared" si="37"/>
        <v>3095789030381.7632</v>
      </c>
    </row>
  </sheetData>
  <sheetProtection algorithmName="SHA-512" hashValue="MVot+50aa2WlhcdZocsDRr4uTRNanOQiXwABLNyKUs6OKlZsekh1FpQg9ukxpKFIFFrOwB8xHVEeFxPitYsxqw==" saltValue="oQ93lkBuOJd85L6kvhoXvQ==" spinCount="100000" sheet="1" formatCells="0" formatColumns="0" formatRows="0" insertColumns="0" insertRows="0" autoFilter="0"/>
  <autoFilter ref="A2:Q78" xr:uid="{00000000-0009-0000-0000-000009000000}"/>
  <mergeCells count="3">
    <mergeCell ref="C1:G1"/>
    <mergeCell ref="H1:L1"/>
    <mergeCell ref="M1:Q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28"/>
  <sheetViews>
    <sheetView workbookViewId="0">
      <selection sqref="A1:C1"/>
    </sheetView>
  </sheetViews>
  <sheetFormatPr defaultRowHeight="12.75"/>
  <cols>
    <col min="1" max="1" width="10.42578125" bestFit="1" customWidth="1"/>
    <col min="2" max="2" width="8" style="1" bestFit="1" customWidth="1"/>
    <col min="3" max="3" width="16.85546875" bestFit="1" customWidth="1"/>
    <col min="4" max="4" width="11.140625" bestFit="1" customWidth="1"/>
    <col min="5" max="5" width="8.42578125" style="1" bestFit="1" customWidth="1"/>
    <col min="6" max="6" width="9.28515625" bestFit="1" customWidth="1"/>
    <col min="7" max="7" width="10.7109375" bestFit="1" customWidth="1"/>
    <col min="8" max="8" width="8" style="1" customWidth="1"/>
    <col min="9" max="9" width="9.28515625" bestFit="1" customWidth="1"/>
  </cols>
  <sheetData>
    <row r="1" spans="1:9" ht="19.5" thickBot="1">
      <c r="A1" s="137" t="s">
        <v>45</v>
      </c>
      <c r="B1" s="138"/>
      <c r="C1" s="139"/>
      <c r="D1" s="140" t="s">
        <v>46</v>
      </c>
      <c r="E1" s="141"/>
      <c r="F1" s="142"/>
      <c r="G1" s="143" t="s">
        <v>47</v>
      </c>
      <c r="H1" s="144"/>
      <c r="I1" s="145"/>
    </row>
    <row r="2" spans="1:9">
      <c r="A2" t="s">
        <v>91</v>
      </c>
      <c r="B2" s="1">
        <v>5</v>
      </c>
      <c r="C2" t="s">
        <v>51</v>
      </c>
      <c r="D2" t="s">
        <v>98</v>
      </c>
      <c r="E2" s="1">
        <v>1</v>
      </c>
      <c r="F2" t="s">
        <v>52</v>
      </c>
      <c r="G2" t="s">
        <v>117</v>
      </c>
      <c r="H2" s="1">
        <v>1</v>
      </c>
      <c r="I2" t="s">
        <v>52</v>
      </c>
    </row>
    <row r="3" spans="1:9" ht="18.75">
      <c r="A3" t="s">
        <v>92</v>
      </c>
      <c r="B3" s="1">
        <v>0.5</v>
      </c>
      <c r="C3" s="12" t="s">
        <v>222</v>
      </c>
      <c r="D3" t="s">
        <v>99</v>
      </c>
      <c r="E3" s="17">
        <f>E26/E28</f>
        <v>0.25</v>
      </c>
      <c r="F3" s="12" t="s">
        <v>223</v>
      </c>
      <c r="G3" t="s">
        <v>118</v>
      </c>
      <c r="H3" s="1">
        <v>55</v>
      </c>
      <c r="I3" t="s">
        <v>70</v>
      </c>
    </row>
    <row r="4" spans="1:9">
      <c r="A4" t="s">
        <v>93</v>
      </c>
      <c r="B4" s="1">
        <v>2</v>
      </c>
      <c r="C4" s="12" t="s">
        <v>223</v>
      </c>
      <c r="D4" t="s">
        <v>100</v>
      </c>
      <c r="E4" s="17">
        <f>E27/E28</f>
        <v>0.75</v>
      </c>
      <c r="F4" s="12" t="s">
        <v>223</v>
      </c>
      <c r="G4" t="s">
        <v>119</v>
      </c>
      <c r="H4" s="1">
        <v>5</v>
      </c>
      <c r="I4" t="s">
        <v>71</v>
      </c>
    </row>
    <row r="5" spans="1:9">
      <c r="A5" s="12" t="s">
        <v>162</v>
      </c>
      <c r="B5" s="1">
        <v>2</v>
      </c>
      <c r="C5" s="12" t="s">
        <v>223</v>
      </c>
      <c r="D5" t="s">
        <v>101</v>
      </c>
      <c r="E5" s="1">
        <v>55</v>
      </c>
      <c r="F5" t="s">
        <v>70</v>
      </c>
      <c r="G5" t="s">
        <v>120</v>
      </c>
      <c r="H5" s="1">
        <v>5</v>
      </c>
      <c r="I5" t="s">
        <v>71</v>
      </c>
    </row>
    <row r="6" spans="1:9">
      <c r="A6" t="s">
        <v>94</v>
      </c>
      <c r="B6" s="1">
        <v>2</v>
      </c>
      <c r="C6" s="12" t="s">
        <v>223</v>
      </c>
      <c r="D6" t="s">
        <v>102</v>
      </c>
      <c r="E6" s="1">
        <v>55</v>
      </c>
      <c r="F6" t="s">
        <v>70</v>
      </c>
      <c r="G6" t="s">
        <v>121</v>
      </c>
      <c r="H6" s="1">
        <v>5</v>
      </c>
      <c r="I6" t="s">
        <v>71</v>
      </c>
    </row>
    <row r="7" spans="1:9" ht="14.25">
      <c r="A7" t="s">
        <v>95</v>
      </c>
      <c r="B7" s="1">
        <v>2</v>
      </c>
      <c r="C7" s="12" t="s">
        <v>223</v>
      </c>
      <c r="D7" t="s">
        <v>103</v>
      </c>
      <c r="E7" s="1">
        <v>55</v>
      </c>
      <c r="F7" t="s">
        <v>70</v>
      </c>
      <c r="G7" t="s">
        <v>122</v>
      </c>
      <c r="H7" s="1">
        <v>55</v>
      </c>
      <c r="I7" s="13" t="s">
        <v>224</v>
      </c>
    </row>
    <row r="8" spans="1:9">
      <c r="A8" t="s">
        <v>261</v>
      </c>
      <c r="B8" s="1">
        <v>0.5</v>
      </c>
      <c r="C8" s="12" t="s">
        <v>223</v>
      </c>
      <c r="D8" t="s">
        <v>104</v>
      </c>
      <c r="E8" s="1">
        <v>5</v>
      </c>
      <c r="F8" t="s">
        <v>71</v>
      </c>
      <c r="G8" s="13" t="s">
        <v>123</v>
      </c>
      <c r="H8" s="1">
        <v>5</v>
      </c>
      <c r="I8" s="13" t="s">
        <v>74</v>
      </c>
    </row>
    <row r="9" spans="1:9" ht="14.25">
      <c r="A9" t="s">
        <v>262</v>
      </c>
      <c r="B9" s="1">
        <v>0.5</v>
      </c>
      <c r="C9" s="12" t="s">
        <v>223</v>
      </c>
      <c r="D9" t="s">
        <v>105</v>
      </c>
      <c r="E9" s="1">
        <v>5</v>
      </c>
      <c r="F9" t="s">
        <v>71</v>
      </c>
      <c r="G9" t="s">
        <v>124</v>
      </c>
      <c r="H9" s="1">
        <v>30</v>
      </c>
      <c r="I9" s="13" t="s">
        <v>225</v>
      </c>
    </row>
    <row r="10" spans="1:9" ht="14.25">
      <c r="A10" t="s">
        <v>263</v>
      </c>
      <c r="B10" s="1">
        <v>0.5</v>
      </c>
      <c r="D10" t="s">
        <v>106</v>
      </c>
      <c r="E10" s="1">
        <v>5</v>
      </c>
      <c r="F10" t="s">
        <v>71</v>
      </c>
      <c r="G10" s="12" t="s">
        <v>255</v>
      </c>
      <c r="H10" s="61">
        <f>((s_FTSSh_a*s_ETiw_h)+(s_FTSSs_a*s_ETiw_s))*s_EFiw*s_SAiw*s_FQiw*s_FSAres_a*s_SE</f>
        <v>26468.75</v>
      </c>
      <c r="I10" s="13" t="s">
        <v>226</v>
      </c>
    </row>
    <row r="11" spans="1:9">
      <c r="A11" t="s">
        <v>264</v>
      </c>
      <c r="B11" s="1">
        <v>0.5</v>
      </c>
      <c r="D11" t="s">
        <v>107</v>
      </c>
      <c r="E11" s="1">
        <v>5</v>
      </c>
      <c r="F11" t="s">
        <v>71</v>
      </c>
      <c r="G11" t="s">
        <v>173</v>
      </c>
      <c r="H11" s="18">
        <f>(1-EXP(-s_k*s_tiw))/(s_k*s_tiw)</f>
        <v>0.78693868057473315</v>
      </c>
      <c r="I11" s="12" t="s">
        <v>223</v>
      </c>
    </row>
    <row r="12" spans="1:9">
      <c r="A12" t="s">
        <v>96</v>
      </c>
      <c r="B12" s="1">
        <v>0.7</v>
      </c>
      <c r="C12" s="12" t="s">
        <v>223</v>
      </c>
      <c r="D12" t="s">
        <v>108</v>
      </c>
      <c r="E12" s="1">
        <v>5</v>
      </c>
      <c r="F12" t="s">
        <v>71</v>
      </c>
    </row>
    <row r="13" spans="1:9">
      <c r="A13" s="13" t="s">
        <v>97</v>
      </c>
      <c r="B13" s="14">
        <v>27.027027027027</v>
      </c>
      <c r="C13" s="13" t="s">
        <v>61</v>
      </c>
      <c r="D13" t="s">
        <v>109</v>
      </c>
      <c r="E13" s="1">
        <v>5</v>
      </c>
      <c r="F13" t="s">
        <v>71</v>
      </c>
    </row>
    <row r="14" spans="1:9">
      <c r="A14" s="13" t="s">
        <v>232</v>
      </c>
      <c r="B14" s="15">
        <f>2.8*(10^(-15))</f>
        <v>2.8000000000000001E-15</v>
      </c>
      <c r="C14" s="12" t="s">
        <v>228</v>
      </c>
      <c r="D14" t="s">
        <v>110</v>
      </c>
      <c r="E14" s="1">
        <v>5</v>
      </c>
      <c r="F14" t="s">
        <v>71</v>
      </c>
    </row>
    <row r="15" spans="1:9" ht="14.25">
      <c r="A15" s="13" t="s">
        <v>232</v>
      </c>
      <c r="B15" s="15">
        <f>2.8*(10^(-12))</f>
        <v>2.7999999999999998E-12</v>
      </c>
      <c r="C15" s="12" t="s">
        <v>229</v>
      </c>
      <c r="D15" t="s">
        <v>111</v>
      </c>
      <c r="E15" s="1">
        <v>55</v>
      </c>
      <c r="F15" s="13" t="s">
        <v>224</v>
      </c>
    </row>
    <row r="16" spans="1:9" ht="14.25">
      <c r="A16" t="s">
        <v>115</v>
      </c>
      <c r="B16" s="1">
        <v>0.5</v>
      </c>
      <c r="C16" s="12" t="s">
        <v>223</v>
      </c>
      <c r="D16" t="s">
        <v>112</v>
      </c>
      <c r="E16" s="1">
        <v>55</v>
      </c>
      <c r="F16" s="13" t="s">
        <v>224</v>
      </c>
    </row>
    <row r="17" spans="1:6">
      <c r="A17" t="s">
        <v>116</v>
      </c>
      <c r="B17" s="1">
        <v>0.5</v>
      </c>
      <c r="C17" s="12" t="s">
        <v>223</v>
      </c>
      <c r="D17" s="13" t="s">
        <v>113</v>
      </c>
      <c r="E17" s="16">
        <v>10</v>
      </c>
      <c r="F17" s="13" t="s">
        <v>74</v>
      </c>
    </row>
    <row r="18" spans="1:6">
      <c r="A18" s="12" t="s">
        <v>174</v>
      </c>
      <c r="B18" s="1">
        <v>5</v>
      </c>
      <c r="C18" t="s">
        <v>233</v>
      </c>
      <c r="D18" s="13" t="s">
        <v>114</v>
      </c>
      <c r="E18" s="16">
        <v>5</v>
      </c>
      <c r="F18" s="13" t="s">
        <v>74</v>
      </c>
    </row>
    <row r="19" spans="1:6">
      <c r="D19" s="13" t="s">
        <v>259</v>
      </c>
      <c r="E19" s="1">
        <v>0.5</v>
      </c>
      <c r="F19" s="13"/>
    </row>
    <row r="20" spans="1:6">
      <c r="D20" s="13" t="s">
        <v>260</v>
      </c>
      <c r="E20" s="1">
        <v>0.5</v>
      </c>
      <c r="F20" s="13"/>
    </row>
    <row r="21" spans="1:6" ht="14.25">
      <c r="D21" s="13" t="s">
        <v>163</v>
      </c>
      <c r="E21" s="16">
        <v>5</v>
      </c>
      <c r="F21" s="13" t="s">
        <v>225</v>
      </c>
    </row>
    <row r="22" spans="1:6" ht="14.25">
      <c r="D22" s="13" t="s">
        <v>164</v>
      </c>
      <c r="E22" s="16">
        <v>10</v>
      </c>
      <c r="F22" s="13" t="s">
        <v>225</v>
      </c>
    </row>
    <row r="23" spans="1:6" ht="14.25">
      <c r="D23" s="12" t="s">
        <v>165</v>
      </c>
      <c r="E23" s="61" cm="1">
        <f t="array" ref="E23">((((s_FTSSh_c*s_ETres_c_h)+(s_FTSSs_c*s_ETres_c_s))*s_EFres_c*s_AAFc*s_SAres_c*s_FQres_c*s_FSAres_c*s_SE)+(((s_FTSSh_a*s_ETres_a_h)+(s_FTSSs_a*s_ETres_a_s))*s_EFres_a*s_AAFa*s_SAres_a*s_FQres_a*s_FSAres_a*s_SE))</f>
        <v>33085.9375</v>
      </c>
      <c r="F23" s="13" t="s">
        <v>230</v>
      </c>
    </row>
    <row r="24" spans="1:6" ht="14.25">
      <c r="D24" s="12" t="s">
        <v>166</v>
      </c>
      <c r="E24" s="18">
        <f>((s_IRAres_c*s_ETres_c*(1/24)*s_EFres_c*s_AAFc)+(s_IRAres_a*s_ETres_a*(1/24)*s_EFres_a*s_AAFa))</f>
        <v>100.26041666666666</v>
      </c>
      <c r="F24" s="13" t="s">
        <v>231</v>
      </c>
    </row>
    <row r="25" spans="1:6">
      <c r="D25" t="s">
        <v>172</v>
      </c>
      <c r="E25" s="18">
        <f>(1-EXP(-s_k*s_tres))/(s_k*s_tres)</f>
        <v>0.78693868057473315</v>
      </c>
      <c r="F25" s="12" t="s">
        <v>223</v>
      </c>
    </row>
    <row r="26" spans="1:6">
      <c r="D26" t="s">
        <v>234</v>
      </c>
      <c r="E26" s="1">
        <v>5</v>
      </c>
      <c r="F26" t="s">
        <v>235</v>
      </c>
    </row>
    <row r="27" spans="1:6">
      <c r="D27" t="s">
        <v>236</v>
      </c>
      <c r="E27" s="1">
        <v>15</v>
      </c>
      <c r="F27" t="s">
        <v>235</v>
      </c>
    </row>
    <row r="28" spans="1:6">
      <c r="D28" t="s">
        <v>237</v>
      </c>
      <c r="E28" s="17">
        <f>SUM(E26:E27)</f>
        <v>20</v>
      </c>
      <c r="F28" t="s">
        <v>235</v>
      </c>
    </row>
  </sheetData>
  <sheetProtection algorithmName="SHA-512" hashValue="7us2S2ThPhm6pebm5U49CSBUc8wW+YgRIfpg0vKLC6tbdf8U4bhtAwULh/jGmoFeL3DZiBfN68mHiTEjtIEDVg==" saltValue="x5Vy3SyvRw4ZQpefnA42YA==" spinCount="100000" sheet="1" formatCells="0" formatColumns="0" formatRows="0" insertColumns="0" insertRows="0"/>
  <mergeCells count="3">
    <mergeCell ref="A1:C1"/>
    <mergeCell ref="D1:F1"/>
    <mergeCell ref="G1:I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499984740745262"/>
  </sheetPr>
  <dimension ref="A1:L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85546875" style="22" bestFit="1" customWidth="1"/>
    <col min="4" max="4" width="14" style="22" bestFit="1" customWidth="1"/>
    <col min="5" max="5" width="13.5703125" style="22" bestFit="1" customWidth="1"/>
    <col min="6" max="6" width="13.85546875" style="22" bestFit="1" customWidth="1"/>
    <col min="7" max="7" width="14" style="22" bestFit="1" customWidth="1"/>
    <col min="8" max="8" width="13.5703125" style="22" bestFit="1" customWidth="1"/>
    <col min="9" max="9" width="13.85546875" style="22" bestFit="1" customWidth="1"/>
    <col min="10" max="10" width="14" style="22" bestFit="1" customWidth="1"/>
    <col min="11" max="11" width="13.5703125" style="22" bestFit="1" customWidth="1"/>
    <col min="12" max="12" width="11.28515625" bestFit="1" customWidth="1"/>
  </cols>
  <sheetData>
    <row r="1" spans="1:12" ht="13.5" thickBot="1">
      <c r="C1" s="146" t="s">
        <v>61</v>
      </c>
      <c r="D1" s="147"/>
      <c r="E1" s="147"/>
      <c r="F1" s="146" t="s">
        <v>138</v>
      </c>
      <c r="G1" s="147"/>
      <c r="H1" s="147"/>
      <c r="I1" s="146" t="s">
        <v>139</v>
      </c>
      <c r="J1" s="147"/>
      <c r="K1" s="147"/>
      <c r="L1" s="65" t="s">
        <v>252</v>
      </c>
    </row>
    <row r="2" spans="1:12">
      <c r="A2" s="11" t="s">
        <v>0</v>
      </c>
      <c r="B2" s="11" t="s">
        <v>43</v>
      </c>
      <c r="C2" s="35" t="s">
        <v>135</v>
      </c>
      <c r="D2" s="36" t="s">
        <v>136</v>
      </c>
      <c r="E2" s="38" t="s">
        <v>137</v>
      </c>
      <c r="F2" s="35" t="s">
        <v>135</v>
      </c>
      <c r="G2" s="36" t="s">
        <v>136</v>
      </c>
      <c r="H2" s="36" t="s">
        <v>137</v>
      </c>
      <c r="I2" s="35" t="s">
        <v>135</v>
      </c>
      <c r="J2" s="36" t="s">
        <v>136</v>
      </c>
      <c r="K2" s="37" t="s">
        <v>137</v>
      </c>
      <c r="L2" s="66" t="s">
        <v>137</v>
      </c>
    </row>
    <row r="3" spans="1:12" ht="13.5" thickBot="1">
      <c r="B3" s="26" t="s">
        <v>44</v>
      </c>
      <c r="C3" s="27" t="s">
        <v>140</v>
      </c>
      <c r="D3" s="28" t="s">
        <v>140</v>
      </c>
      <c r="E3" s="39" t="s">
        <v>140</v>
      </c>
      <c r="F3" s="27" t="s">
        <v>141</v>
      </c>
      <c r="G3" s="28" t="s">
        <v>141</v>
      </c>
      <c r="H3" s="28" t="s">
        <v>141</v>
      </c>
      <c r="I3" s="27" t="s">
        <v>142</v>
      </c>
      <c r="J3" s="28" t="s">
        <v>142</v>
      </c>
      <c r="K3" s="29" t="s">
        <v>142</v>
      </c>
      <c r="L3" s="79" t="s">
        <v>253</v>
      </c>
    </row>
    <row r="4" spans="1:12">
      <c r="A4" s="87" t="s">
        <v>23</v>
      </c>
      <c r="B4" s="12" t="s">
        <v>59</v>
      </c>
      <c r="C4" s="2">
        <f>IFERROR((s_DL)/(k_decay*Doses!E2*s_IFDres_adj*s_Fin*s_Fi),".")</f>
        <v>0.2480974281343942</v>
      </c>
      <c r="D4" s="3">
        <f>IFERROR((s_DL)/(k_decay*Doses!L2*s_Fin*s_Fi*s_Fam*s_Foff*s_ETres*(1/24)*s_EFres*(1/365)*Isospec!R3),".")</f>
        <v>1477.0633278354287</v>
      </c>
      <c r="E4" s="3">
        <f t="shared" ref="E4" si="0">IFERROR(IF(AND(ISNUMBER(C4),ISNUMBER(D4)),(1/((1/C4)+(1/D4))),IF(AND(ISNUMBER(C4),NOT(ISNUMBER(D4))),(1/(1/C4)),IF(AND(NOT(ISNUMBER(C4)),ISNUMBER(D4)),(1/(1/D4)),"."))),".")</f>
        <v>0.24805576303061561</v>
      </c>
      <c r="F4" s="2">
        <f t="shared" ref="F4" si="1">IFERROR(C4/_1_bq,".")</f>
        <v>9.1796048409725946E-3</v>
      </c>
      <c r="G4" s="3">
        <f t="shared" ref="G4" si="2">IFERROR(D4/_1_bq,".")</f>
        <v>54.65134312991092</v>
      </c>
      <c r="H4" s="5">
        <f t="shared" ref="H4" si="3">IFERROR(E4/_1_bq,".")</f>
        <v>9.1780632321327871E-3</v>
      </c>
      <c r="I4" s="2">
        <f>IFERROR(C4*Isospec!C3*Isospec!F3*SSLcm_m,".")</f>
        <v>4.2822295814978254E-15</v>
      </c>
      <c r="J4" s="3">
        <f>IFERROR(D4*Isospec!C3*Isospec!F3*SSLcm_m,".")</f>
        <v>2.549451771332421E-11</v>
      </c>
      <c r="K4" s="5">
        <f>IFERROR(E4*Isospec!C3*Isospec!F3*SSLcm_m,".")</f>
        <v>4.2815104303915104E-15</v>
      </c>
      <c r="L4" s="67">
        <f>IF(E4&lt;&gt;".",E4*2.22*100,".")</f>
        <v>55.068379392796672</v>
      </c>
    </row>
    <row r="5" spans="1:12">
      <c r="A5" s="88" t="s">
        <v>14</v>
      </c>
      <c r="B5" s="12" t="s">
        <v>44</v>
      </c>
      <c r="C5" s="2">
        <f>IFERROR((s_DL)/(k_decay*Doses!E3*s_IFDres_adj*s_Fin*s_Fi),".")</f>
        <v>5.4518888619448813E-2</v>
      </c>
      <c r="D5" s="3">
        <f>IFERROR((s_DL)/(k_decay*Doses!L3*s_Fin*s_Fi*s_Fam*s_Foff*s_ETres*(1/24)*s_EFres*(1/365)*Isospec!R4),".")</f>
        <v>980.97743950777374</v>
      </c>
      <c r="E5" s="3">
        <f>IFERROR(IF(AND(ISNUMBER(C5),ISNUMBER(D5)),(1/((1/C5)+(1/D5))),IF(AND(ISNUMBER(C5),NOT(ISNUMBER(D5))),(1/(1/C5)),IF(AND(NOT(ISNUMBER(C5)),ISNUMBER(D5)),(1/(1/D5)),"."))),".")</f>
        <v>5.4515858841274037E-2</v>
      </c>
      <c r="F5" s="2">
        <f>IFERROR(C5/_1_bq,".")</f>
        <v>2.0171988789196081E-3</v>
      </c>
      <c r="G5" s="3">
        <f>IFERROR(D5/_1_bq,".")</f>
        <v>36.296165261787664</v>
      </c>
      <c r="H5" s="5">
        <f>IFERROR(E5/_1_bq,".")</f>
        <v>2.0170867771271412E-3</v>
      </c>
      <c r="I5" s="2">
        <f>IFERROR(C5*Isospec!C4*Isospec!F4*SSLcm_m,".")</f>
        <v>1.5900355358662637E-11</v>
      </c>
      <c r="J5" s="3">
        <f>IFERROR(D5*Isospec!C4*Isospec!F4*SSLcm_m,".")</f>
        <v>2.8610065762492932E-7</v>
      </c>
      <c r="K5" s="5">
        <f>IFERROR(E5*Isospec!C4*Isospec!F4*SSLcm_m,".")</f>
        <v>1.589947172822084E-11</v>
      </c>
      <c r="L5" s="67">
        <f>IF(E5&lt;&gt;".",E5*2.22*100,".")</f>
        <v>12.102520662762837</v>
      </c>
    </row>
    <row r="6" spans="1:12">
      <c r="A6" s="87" t="s">
        <v>15</v>
      </c>
      <c r="B6" s="12" t="s">
        <v>59</v>
      </c>
      <c r="C6" s="2" t="str">
        <f>IFERROR((s_DL)/(k_decay*Doses!E4*s_IFDres_adj*s_Fin*s_Fi),".")</f>
        <v>.</v>
      </c>
      <c r="D6" s="3">
        <f>IFERROR((s_DL)/(k_decay*Doses!L4*s_Fin*s_Fi*s_Fam*s_Foff*s_ETres*(1/24)*s_EFres*(1/365)*Isospec!R5),".")</f>
        <v>172715.41115562711</v>
      </c>
      <c r="E6" s="3">
        <f t="shared" ref="E6:E7" si="4">IFERROR(IF(AND(ISNUMBER(C6),ISNUMBER(D6)),(1/((1/C6)+(1/D6))),IF(AND(ISNUMBER(C6),NOT(ISNUMBER(D6))),(1/(1/C6)),IF(AND(NOT(ISNUMBER(C6)),ISNUMBER(D6)),(1/(1/D6)),"."))),".")</f>
        <v>172715.41115562711</v>
      </c>
      <c r="F6" s="2" t="str">
        <f t="shared" ref="F6:F7" si="5">IFERROR(C6/_1_bq,".")</f>
        <v>.</v>
      </c>
      <c r="G6" s="3">
        <f t="shared" ref="G6:G7" si="6">IFERROR(D6/_1_bq,".")</f>
        <v>6390.4702127582095</v>
      </c>
      <c r="H6" s="5">
        <f t="shared" ref="H6:H7" si="7">IFERROR(E6/_1_bq,".")</f>
        <v>6390.4702127582095</v>
      </c>
      <c r="I6" s="2" t="str">
        <f>IFERROR(C6*Isospec!C5*Isospec!F5*SSLcm_m,".")</f>
        <v>.</v>
      </c>
      <c r="J6" s="3">
        <f>IFERROR(D6*Isospec!C5*Isospec!F5*SSLcm_m,".")</f>
        <v>1.0748423539214071E-16</v>
      </c>
      <c r="K6" s="5">
        <f>IFERROR(E6*Isospec!C5*Isospec!F5*SSLcm_m,".")</f>
        <v>1.0748423539214071E-16</v>
      </c>
      <c r="L6" s="67">
        <f t="shared" ref="L6:L7" si="8">IF(E6&lt;&gt;".",E6*2.22*100,".")</f>
        <v>38342821.27654922</v>
      </c>
    </row>
    <row r="7" spans="1:12">
      <c r="A7" s="87" t="s">
        <v>16</v>
      </c>
      <c r="B7" s="89" t="s">
        <v>59</v>
      </c>
      <c r="C7" s="2" t="str">
        <f>IFERROR((s_DL)/(k_decay*Doses!E5*s_IFDres_adj*s_Fin*s_Fi),".")</f>
        <v>.</v>
      </c>
      <c r="D7" s="3">
        <f>IFERROR((s_DL)/(k_decay*Doses!L5*s_Fin*s_Fi*s_Fam*s_Foff*s_ETres*(1/24)*s_EFres*(1/365)*Isospec!R6),".")</f>
        <v>96186.363908643136</v>
      </c>
      <c r="E7" s="3">
        <f t="shared" si="4"/>
        <v>96186.363908643136</v>
      </c>
      <c r="F7" s="2" t="str">
        <f t="shared" si="5"/>
        <v>.</v>
      </c>
      <c r="G7" s="3">
        <f t="shared" si="6"/>
        <v>3558.8954646197994</v>
      </c>
      <c r="H7" s="5">
        <f t="shared" si="7"/>
        <v>3558.8954646197994</v>
      </c>
      <c r="I7" s="2" t="str">
        <f>IFERROR(C7*Isospec!C6*Isospec!F6*SSLcm_m,".")</f>
        <v>.</v>
      </c>
      <c r="J7" s="3">
        <f>IFERROR(D7*Isospec!C6*Isospec!F6*SSLcm_m,".")</f>
        <v>2.7926254057189842E-15</v>
      </c>
      <c r="K7" s="5">
        <f>IFERROR(E7*Isospec!C6*Isospec!F6*SSLcm_m,".")</f>
        <v>2.7926254057189842E-15</v>
      </c>
      <c r="L7" s="67">
        <f t="shared" si="8"/>
        <v>21353372.787718777</v>
      </c>
    </row>
    <row r="8" spans="1:12">
      <c r="A8" s="87" t="s">
        <v>18</v>
      </c>
      <c r="B8" s="12" t="s">
        <v>59</v>
      </c>
      <c r="C8" s="2" t="str">
        <f>IFERROR((s_DL)/(k_decay*Doses!E6*s_IFDres_adj*s_Fin*s_Fi),".")</f>
        <v>.</v>
      </c>
      <c r="D8" s="3">
        <f>IFERROR((s_DL)/(k_decay*Doses!L6*s_Fin*s_Fi*s_Fam*s_Foff*s_ETres*(1/24)*s_EFres*(1/365)*Isospec!R7),".")</f>
        <v>84.097939238230438</v>
      </c>
      <c r="E8" s="3">
        <f t="shared" ref="E8:E11" si="9">IFERROR(IF(AND(ISNUMBER(C8),ISNUMBER(D8)),(1/((1/C8)+(1/D8))),IF(AND(ISNUMBER(C8),NOT(ISNUMBER(D8))),(1/(1/C8)),IF(AND(NOT(ISNUMBER(C8)),ISNUMBER(D8)),(1/(1/D8)),"."))),".")</f>
        <v>84.097939238230438</v>
      </c>
      <c r="F8" s="2" t="str">
        <f t="shared" ref="F8:F11" si="10">IFERROR(C8/_1_bq,".")</f>
        <v>.</v>
      </c>
      <c r="G8" s="3">
        <f t="shared" ref="G8:G11" si="11">IFERROR(D8/_1_bq,".")</f>
        <v>3.1116237518145295</v>
      </c>
      <c r="H8" s="5">
        <f t="shared" ref="H8:H11" si="12">IFERROR(E8/_1_bq,".")</f>
        <v>3.1116237518145295</v>
      </c>
      <c r="I8" s="2" t="str">
        <f>IFERROR(C8*Isospec!C7*Isospec!F7*SSLcm_m,".")</f>
        <v>.</v>
      </c>
      <c r="J8" s="3">
        <f>IFERROR(D8*Isospec!C7*Isospec!F7*SSLcm_m,".")</f>
        <v>1.5663516389466373E-16</v>
      </c>
      <c r="K8" s="5">
        <f>IFERROR(E8*Isospec!C7*Isospec!F7*SSLcm_m,".")</f>
        <v>1.5663516389466373E-16</v>
      </c>
      <c r="L8" s="67">
        <f>IF(E8&lt;&gt;".",E8*2.22*100,".")</f>
        <v>18669.742510887158</v>
      </c>
    </row>
    <row r="9" spans="1:12">
      <c r="A9" s="87" t="s">
        <v>19</v>
      </c>
      <c r="B9" s="90" t="s">
        <v>59</v>
      </c>
      <c r="C9" s="2">
        <f>IFERROR((s_DL)/(k_decay*Doses!E7*s_IFDres_adj*s_Fin*s_Fi),".")</f>
        <v>7.2086086063493449</v>
      </c>
      <c r="D9" s="3">
        <f>IFERROR((s_DL)/(k_decay*Doses!L7*s_Fin*s_Fi*s_Fam*s_Foff*s_ETres*(1/24)*s_EFres*(1/365)*Isospec!R8),".")</f>
        <v>1194.9210384198359</v>
      </c>
      <c r="E9" s="3">
        <f t="shared" si="9"/>
        <v>7.1653819559060405</v>
      </c>
      <c r="F9" s="2">
        <f t="shared" si="10"/>
        <v>0.26671851843492606</v>
      </c>
      <c r="G9" s="3">
        <f t="shared" si="11"/>
        <v>44.212078421533974</v>
      </c>
      <c r="H9" s="5">
        <f t="shared" si="12"/>
        <v>0.26511913236852375</v>
      </c>
      <c r="I9" s="2">
        <f>IFERROR(C9*Isospec!C8*Isospec!F8*SSLcm_m,".")</f>
        <v>5.8214827142063809E-14</v>
      </c>
      <c r="J9" s="3">
        <f>IFERROR(D9*Isospec!C8*Isospec!F8*SSLcm_m,".")</f>
        <v>9.6498680256763809E-12</v>
      </c>
      <c r="K9" s="5">
        <f>IFERROR(E9*Isospec!C8*Isospec!F8*SSLcm_m,".")</f>
        <v>5.7865740082284902E-14</v>
      </c>
      <c r="L9" s="67">
        <f>IF(E9&lt;&gt;".",E9*2.22*100,".")</f>
        <v>1590.7147942111412</v>
      </c>
    </row>
    <row r="10" spans="1:12">
      <c r="A10" s="87" t="s">
        <v>20</v>
      </c>
      <c r="B10" s="12" t="s">
        <v>59</v>
      </c>
      <c r="C10" s="2">
        <f>IFERROR((s_DL)/(k_decay*Doses!E8*s_IFDres_adj*s_Fin*s_Fi),".")</f>
        <v>48.416027953092609</v>
      </c>
      <c r="D10" s="3">
        <f>IFERROR((s_DL)/(k_decay*Doses!L8*s_Fin*s_Fi*s_Fam*s_Foff*s_ETres*(1/24)*s_EFres*(1/365)*Isospec!R9),".")</f>
        <v>280.77233886150367</v>
      </c>
      <c r="E10" s="3">
        <f t="shared" si="9"/>
        <v>41.295145203080715</v>
      </c>
      <c r="F10" s="2">
        <f t="shared" si="10"/>
        <v>1.7913930342644284</v>
      </c>
      <c r="G10" s="3">
        <f t="shared" si="11"/>
        <v>10.388576537875647</v>
      </c>
      <c r="H10" s="5">
        <f t="shared" si="12"/>
        <v>1.527920372513988</v>
      </c>
      <c r="I10" s="2">
        <f>IFERROR(C10*Isospec!C9*Isospec!F9*SSLcm_m,".")</f>
        <v>2.5046152900630273E-15</v>
      </c>
      <c r="J10" s="3">
        <f>IFERROR(D10*Isospec!C9*Isospec!F9*SSLcm_m,".")</f>
        <v>1.4524667195346838E-14</v>
      </c>
      <c r="K10" s="5">
        <f>IFERROR(E10*Isospec!C9*Isospec!F9*SSLcm_m,".")</f>
        <v>2.136244059120556E-15</v>
      </c>
      <c r="L10" s="67">
        <f t="shared" ref="L10:L11" si="13">IF(E10&lt;&gt;".",E10*2.22*100,".")</f>
        <v>9167.5222350839194</v>
      </c>
    </row>
    <row r="11" spans="1:12">
      <c r="A11" s="87" t="s">
        <v>21</v>
      </c>
      <c r="B11" s="90" t="s">
        <v>59</v>
      </c>
      <c r="C11" s="2">
        <f>IFERROR((s_DL)/(k_decay*Doses!E9*s_IFDres_adj*s_Fin*s_Fi),".")</f>
        <v>87.083862358582664</v>
      </c>
      <c r="D11" s="3">
        <f>IFERROR((s_DL)/(k_decay*Doses!L9*s_Fin*s_Fi*s_Fam*s_Foff*s_ETres*(1/24)*s_EFres*(1/365)*Isospec!R10),".")</f>
        <v>35.945276175001162</v>
      </c>
      <c r="E11" s="3">
        <f t="shared" si="9"/>
        <v>25.443187851067997</v>
      </c>
      <c r="F11" s="2">
        <f t="shared" si="10"/>
        <v>3.222102907267562</v>
      </c>
      <c r="G11" s="3">
        <f t="shared" si="11"/>
        <v>1.3299752184750444</v>
      </c>
      <c r="H11" s="5">
        <f t="shared" si="12"/>
        <v>0.9413979504895168</v>
      </c>
      <c r="I11" s="2">
        <f>IFERROR(C11*Isospec!C10*Isospec!F10*SSLcm_m,".")</f>
        <v>1.9756372554656216E-15</v>
      </c>
      <c r="J11" s="3">
        <f>IFERROR(D11*Isospec!C10*Isospec!F10*SSLcm_m,".")</f>
        <v>8.1547631037444601E-16</v>
      </c>
      <c r="K11" s="5">
        <f>IFERROR(E11*Isospec!C10*Isospec!F10*SSLcm_m,".")</f>
        <v>5.7721957266203106E-16</v>
      </c>
      <c r="L11" s="67">
        <f t="shared" si="13"/>
        <v>5648.387702937096</v>
      </c>
    </row>
    <row r="12" spans="1:12">
      <c r="A12" s="88" t="s">
        <v>17</v>
      </c>
      <c r="B12" s="12" t="s">
        <v>44</v>
      </c>
      <c r="C12" s="2">
        <f>IFERROR((s_DL)/(k_decay*Doses!E10*s_IFDres_adj*s_Fin*s_Fi),".")</f>
        <v>0.97560116476908421</v>
      </c>
      <c r="D12" s="3">
        <f>IFERROR((s_DL)/(k_decay*Doses!L10*s_Fin*s_Fi*s_Fam*s_Foff*s_ETres*(1/24)*s_EFres*(1/365)*Isospec!R11),".")</f>
        <v>14649.057697138613</v>
      </c>
      <c r="E12" s="3">
        <f t="shared" ref="E12" si="14">IFERROR(IF(AND(ISNUMBER(C12),ISNUMBER(D12)),(1/((1/C12)+(1/D12))),IF(AND(ISNUMBER(C12),NOT(ISNUMBER(D12))),(1/(1/C12)),IF(AND(NOT(ISNUMBER(C12)),ISNUMBER(D12)),(1/(1/D12)),"."))),".")</f>
        <v>0.97553619579506767</v>
      </c>
      <c r="F12" s="2">
        <f t="shared" ref="F12" si="15">IFERROR(C12/_1_bq,".")</f>
        <v>3.609724309645615E-2</v>
      </c>
      <c r="G12" s="3">
        <f t="shared" ref="G12" si="16">IFERROR(D12/_1_bq,".")</f>
        <v>542.01513479412927</v>
      </c>
      <c r="H12" s="5">
        <f t="shared" ref="H12" si="17">IFERROR(E12/_1_bq,".")</f>
        <v>3.6094839244417538E-2</v>
      </c>
      <c r="I12" s="2">
        <f>IFERROR(C12*Isospec!C11*Isospec!F11*SSLcm_m,".")</f>
        <v>1.1289753809559808E-11</v>
      </c>
      <c r="J12" s="3">
        <f>IFERROR(D12*Isospec!C11*Isospec!F11*SSLcm_m,".")</f>
        <v>1.6952035413147236E-7</v>
      </c>
      <c r="K12" s="5">
        <f>IFERROR(E12*Isospec!C11*Isospec!F11*SSLcm_m,".")</f>
        <v>1.1289001982124177E-11</v>
      </c>
      <c r="L12" s="67">
        <f t="shared" ref="L12" si="18">IF(E12&lt;&gt;".",E12*2.22*100,".")</f>
        <v>216.56903546650503</v>
      </c>
    </row>
    <row r="13" spans="1:12">
      <c r="A13" s="87" t="s">
        <v>24</v>
      </c>
      <c r="B13" s="12" t="s">
        <v>59</v>
      </c>
      <c r="C13" s="2" t="str">
        <f>IFERROR((s_DL)/(k_decay*Doses!E11*s_IFDres_adj*s_Fin*s_Fi),".")</f>
        <v>.</v>
      </c>
      <c r="D13" s="3">
        <f>IFERROR((s_DL)/(k_decay*Doses!L11*s_Fin*s_Fi*s_Fam*s_Foff*s_ETres*(1/24)*s_EFres*(1/365)*Isospec!R12),".")</f>
        <v>1377.6246294905477</v>
      </c>
      <c r="E13" s="3">
        <f t="shared" ref="E13" si="19">IFERROR(IF(AND(ISNUMBER(C13),ISNUMBER(D13)),(1/((1/C13)+(1/D13))),IF(AND(ISNUMBER(C13),NOT(ISNUMBER(D13))),(1/(1/C13)),IF(AND(NOT(ISNUMBER(C13)),ISNUMBER(D13)),(1/(1/D13)),"."))),".")</f>
        <v>1377.6246294905477</v>
      </c>
      <c r="F13" s="2" t="str">
        <f t="shared" ref="F13" si="20">IFERROR(C13/_1_bq,".")</f>
        <v>.</v>
      </c>
      <c r="G13" s="3">
        <f t="shared" ref="G13" si="21">IFERROR(D13/_1_bq,".")</f>
        <v>50.97211129115032</v>
      </c>
      <c r="H13" s="5">
        <f t="shared" ref="H13" si="22">IFERROR(E13/_1_bq,".")</f>
        <v>50.97211129115032</v>
      </c>
      <c r="I13" s="2" t="str">
        <f>IFERROR(C13*Isospec!C12*Isospec!F12*SSLcm_m,".")</f>
        <v>.</v>
      </c>
      <c r="J13" s="3">
        <f>IFERROR(D13*Isospec!C12*Isospec!F12*SSLcm_m,".")</f>
        <v>7.9473424497162963E-15</v>
      </c>
      <c r="K13" s="5">
        <f>IFERROR(E13*Isospec!C12*Isospec!F12*SSLcm_m,".")</f>
        <v>7.9473424497162963E-15</v>
      </c>
      <c r="L13" s="67">
        <f t="shared" ref="L13" si="23">IF(E13&lt;&gt;".",E13*2.22*100,".")</f>
        <v>305832.66774690157</v>
      </c>
    </row>
    <row r="14" spans="1:12">
      <c r="A14" s="87" t="s">
        <v>22</v>
      </c>
      <c r="B14" s="89" t="s">
        <v>59</v>
      </c>
      <c r="C14" s="2" t="str">
        <f>IFERROR((s_DL)/(k_decay*Doses!E12*s_IFDres_adj*s_Fin*s_Fi),".")</f>
        <v>.</v>
      </c>
      <c r="D14" s="3">
        <f>IFERROR((s_DL)/(k_decay*Doses!L12*s_Fin*s_Fi*s_Fam*s_Foff*s_ETres*(1/24)*s_EFres*(1/365)*Isospec!R13),".")</f>
        <v>283.68723625530492</v>
      </c>
      <c r="E14" s="3">
        <f t="shared" ref="E14" si="24">IFERROR(IF(AND(ISNUMBER(C14),ISNUMBER(D14)),(1/((1/C14)+(1/D14))),IF(AND(ISNUMBER(C14),NOT(ISNUMBER(D14))),(1/(1/C14)),IF(AND(NOT(ISNUMBER(C14)),ISNUMBER(D14)),(1/(1/D14)),"."))),".")</f>
        <v>283.68723625530492</v>
      </c>
      <c r="F14" s="2" t="str">
        <f t="shared" ref="F14" si="25">IFERROR(C14/_1_bq,".")</f>
        <v>.</v>
      </c>
      <c r="G14" s="3">
        <f t="shared" ref="G14" si="26">IFERROR(D14/_1_bq,".")</f>
        <v>10.496427741446293</v>
      </c>
      <c r="H14" s="5">
        <f t="shared" ref="H14" si="27">IFERROR(E14/_1_bq,".")</f>
        <v>10.496427741446293</v>
      </c>
      <c r="I14" s="2" t="str">
        <f>IFERROR(C14*Isospec!C13*Isospec!F13*SSLcm_m,".")</f>
        <v>.</v>
      </c>
      <c r="J14" s="3">
        <f>IFERROR(D14*Isospec!C13*Isospec!F13*SSLcm_m,".")</f>
        <v>2.537273597140978E-15</v>
      </c>
      <c r="K14" s="5">
        <f>IFERROR(E14*Isospec!C13*Isospec!F13*SSLcm_m,".")</f>
        <v>2.537273597140978E-15</v>
      </c>
      <c r="L14" s="67">
        <f t="shared" ref="L14" si="28">IF(E14&lt;&gt;".",E14*2.22*100,".")</f>
        <v>62978.566448677702</v>
      </c>
    </row>
    <row r="15" spans="1:12">
      <c r="A15" s="87" t="s">
        <v>28</v>
      </c>
      <c r="B15" s="12" t="s">
        <v>59</v>
      </c>
      <c r="C15" s="2">
        <f>IFERROR((s_DL)/(k_decay*Doses!E13*s_IFDres_adj*s_Fin*s_Fi),".")</f>
        <v>0.10380396393143053</v>
      </c>
      <c r="D15" s="3">
        <f>IFERROR((s_DL)/(k_decay*Doses!L13*s_Fin*s_Fi*s_Fam*s_Foff*s_ETres*(1/24)*s_EFres*(1/365)*Isospec!R14),".")</f>
        <v>819.74530618180904</v>
      </c>
      <c r="E15" s="3">
        <f t="shared" ref="E15:E16" si="29">IFERROR(IF(AND(ISNUMBER(C15),ISNUMBER(D15)),(1/((1/C15)+(1/D15))),IF(AND(ISNUMBER(C15),NOT(ISNUMBER(D15))),(1/(1/C15)),IF(AND(NOT(ISNUMBER(C15)),ISNUMBER(D15)),(1/(1/D15)),"."))),".")</f>
        <v>0.10379082094841752</v>
      </c>
      <c r="F15" s="2">
        <f t="shared" ref="F15:F16" si="30">IFERROR(C15/_1_bq,".")</f>
        <v>3.8407466654629334E-3</v>
      </c>
      <c r="G15" s="3">
        <f t="shared" ref="G15:G16" si="31">IFERROR(D15/_1_bq,".")</f>
        <v>30.330576328726966</v>
      </c>
      <c r="H15" s="5">
        <f t="shared" ref="H15:H16" si="32">IFERROR(E15/_1_bq,".")</f>
        <v>3.8402603750914521E-3</v>
      </c>
      <c r="I15" s="2">
        <f>IFERROR(C15*Isospec!C14*Isospec!F14*SSLcm_m,".")</f>
        <v>1.4768796163673982E-7</v>
      </c>
      <c r="J15" s="3">
        <f>IFERROR(D15*Isospec!C14*Isospec!F14*SSLcm_m,".")</f>
        <v>1.1662995202307406E-3</v>
      </c>
      <c r="K15" s="5">
        <f>IFERROR(E15*Isospec!C14*Isospec!F14*SSLcm_m,".")</f>
        <v>1.4766926234725701E-7</v>
      </c>
      <c r="L15" s="67">
        <f t="shared" ref="L15:L16" si="33">IF(E15&lt;&gt;".",E15*2.22*100,".")</f>
        <v>23.04156225054869</v>
      </c>
    </row>
    <row r="16" spans="1:12">
      <c r="A16" s="87" t="s">
        <v>29</v>
      </c>
      <c r="B16" s="12" t="s">
        <v>59</v>
      </c>
      <c r="C16" s="2">
        <f>IFERROR((s_DL)/(k_decay*Doses!E14*s_IFDres_adj*s_Fin*s_Fi),".")</f>
        <v>9.8299208268400111</v>
      </c>
      <c r="D16" s="3">
        <f>IFERROR((s_DL)/(k_decay*Doses!L14*s_Fin*s_Fi*s_Fam*s_Foff*s_ETres*(1/24)*s_EFres*(1/365)*Isospec!R15),".")</f>
        <v>147.98104507032372</v>
      </c>
      <c r="E16" s="3">
        <f t="shared" si="29"/>
        <v>9.2176227972790663</v>
      </c>
      <c r="F16" s="2">
        <f t="shared" si="30"/>
        <v>0.36370707059308077</v>
      </c>
      <c r="G16" s="3">
        <f t="shared" si="31"/>
        <v>5.475298667601983</v>
      </c>
      <c r="H16" s="5">
        <f t="shared" si="32"/>
        <v>0.34105204349932577</v>
      </c>
      <c r="I16" s="2">
        <f>IFERROR(C16*Isospec!C15*Isospec!F15*SSLcm_m,".")</f>
        <v>4.7380947684700391E-13</v>
      </c>
      <c r="J16" s="3">
        <f>IFERROR(D16*Isospec!C15*Isospec!F15*SSLcm_m,".")</f>
        <v>7.1327961621622287E-12</v>
      </c>
      <c r="K16" s="5">
        <f>IFERROR(E16*Isospec!C15*Isospec!F15*SSLcm_m,".")</f>
        <v>4.4429625754735428E-13</v>
      </c>
      <c r="L16" s="67">
        <f t="shared" si="33"/>
        <v>2046.312260995953</v>
      </c>
    </row>
    <row r="17" spans="1:12">
      <c r="A17" s="87" t="s">
        <v>32</v>
      </c>
      <c r="B17" s="12" t="s">
        <v>59</v>
      </c>
      <c r="C17" s="2">
        <f>IFERROR((s_DL)/(k_decay*Doses!E15*s_IFDres_adj*s_Fin*s_Fi),".")</f>
        <v>173.70141220118899</v>
      </c>
      <c r="D17" s="3">
        <f>IFERROR((s_DL)/(k_decay*Doses!L15*s_Fin*s_Fi*s_Fam*s_Foff*s_ETres*(1/24)*s_EFres*(1/365)*Isospec!R16),".")</f>
        <v>3769.0581468904047</v>
      </c>
      <c r="E17" s="3">
        <f t="shared" ref="E17:E20" si="34">IFERROR(IF(AND(ISNUMBER(C17),ISNUMBER(D17)),(1/((1/C17)+(1/D17))),IF(AND(ISNUMBER(C17),NOT(ISNUMBER(D17))),(1/(1/C17)),IF(AND(NOT(ISNUMBER(C17)),ISNUMBER(D17)),(1/(1/D17)),"."))),".")</f>
        <v>166.04885815915679</v>
      </c>
      <c r="F17" s="2">
        <f t="shared" ref="F17:F20" si="35">IFERROR(C17/_1_bq,".")</f>
        <v>6.426952251443999</v>
      </c>
      <c r="G17" s="3">
        <f t="shared" ref="G17:G20" si="36">IFERROR(D17/_1_bq,".")</f>
        <v>139.45515143494512</v>
      </c>
      <c r="H17" s="5">
        <f t="shared" ref="H17:H20" si="37">IFERROR(E17/_1_bq,".")</f>
        <v>6.1438077518888079</v>
      </c>
      <c r="I17" s="2">
        <f>IFERROR(C17*Isospec!C16*Isospec!F16*SSLcm_m,".")</f>
        <v>3.7747450464007021E-14</v>
      </c>
      <c r="J17" s="3">
        <f>IFERROR(D17*Isospec!C16*Isospec!F16*SSLcm_m,".")</f>
        <v>8.1906263105633982E-13</v>
      </c>
      <c r="K17" s="5">
        <f>IFERROR(E17*Isospec!C16*Isospec!F16*SSLcm_m,".")</f>
        <v>3.6084456473548432E-14</v>
      </c>
      <c r="L17" s="67">
        <f t="shared" ref="L17:L23" si="38">IF(E17&lt;&gt;".",E17*2.22*100,".")</f>
        <v>36862.846511332813</v>
      </c>
    </row>
    <row r="18" spans="1:12">
      <c r="A18" s="87" t="s">
        <v>33</v>
      </c>
      <c r="B18" s="90" t="s">
        <v>59</v>
      </c>
      <c r="C18" s="2">
        <f>IFERROR((s_DL)/(k_decay*Doses!E16*s_IFDres_adj*s_Fin*s_Fi),".")</f>
        <v>1.2721074011204724E-2</v>
      </c>
      <c r="D18" s="3">
        <f>IFERROR((s_DL)/(k_decay*Doses!L16*s_Fin*s_Fi*s_Fam*s_Foff*s_ETres*(1/24)*s_EFres*(1/365)*Isospec!R17),".")</f>
        <v>7216.5271327351347</v>
      </c>
      <c r="E18" s="3">
        <f t="shared" si="34"/>
        <v>1.2721051586922827E-2</v>
      </c>
      <c r="F18" s="2">
        <f t="shared" si="35"/>
        <v>4.7067973841457525E-4</v>
      </c>
      <c r="G18" s="3">
        <f t="shared" si="36"/>
        <v>267.01150391120024</v>
      </c>
      <c r="H18" s="5">
        <f t="shared" si="37"/>
        <v>4.7067890871614507E-4</v>
      </c>
      <c r="I18" s="2">
        <f>IFERROR(C18*Isospec!C17*Isospec!F17*SSLcm_m,".")</f>
        <v>1.6605581171266197E-13</v>
      </c>
      <c r="J18" s="3">
        <f>IFERROR(D18*Isospec!C17*Isospec!F17*SSLcm_m,".")</f>
        <v>9.4201658579871346E-8</v>
      </c>
      <c r="K18" s="5">
        <f>IFERROR(E18*Isospec!C17*Isospec!F17*SSLcm_m,".")</f>
        <v>1.6605551899505581E-13</v>
      </c>
      <c r="L18" s="67">
        <f t="shared" si="38"/>
        <v>2.8240734522968678</v>
      </c>
    </row>
    <row r="19" spans="1:12">
      <c r="A19" s="87" t="s">
        <v>34</v>
      </c>
      <c r="B19" s="90" t="s">
        <v>59</v>
      </c>
      <c r="C19" s="2">
        <f>IFERROR((s_DL)/(k_decay*Doses!E17*s_IFDres_adj*s_Fin*s_Fi),".")</f>
        <v>65.203494931803093</v>
      </c>
      <c r="D19" s="3">
        <f>IFERROR((s_DL)/(k_decay*Doses!L17*s_Fin*s_Fi*s_Fam*s_Foff*s_ETres*(1/24)*s_EFres*(1/365)*Isospec!R18),".")</f>
        <v>163.71589717565891</v>
      </c>
      <c r="E19" s="3">
        <f t="shared" si="34"/>
        <v>46.63147395891022</v>
      </c>
      <c r="F19" s="2">
        <f t="shared" si="35"/>
        <v>2.4125293124767166</v>
      </c>
      <c r="G19" s="3">
        <f t="shared" si="36"/>
        <v>6.0574881954993858</v>
      </c>
      <c r="H19" s="5">
        <f t="shared" si="37"/>
        <v>1.7253645364796799</v>
      </c>
      <c r="I19" s="2">
        <f>IFERROR(C19*Isospec!C18*Isospec!F18*SSLcm_m,".")</f>
        <v>1.9921503720929349E-15</v>
      </c>
      <c r="J19" s="3">
        <f>IFERROR(D19*Isospec!C18*Isospec!F18*SSLcm_m,".")</f>
        <v>5.001981654773831E-15</v>
      </c>
      <c r="K19" s="5">
        <f>IFERROR(E19*Isospec!C18*Isospec!F18*SSLcm_m,".")</f>
        <v>1.4247228357260095E-15</v>
      </c>
      <c r="L19" s="67">
        <f t="shared" si="38"/>
        <v>10352.187218878071</v>
      </c>
    </row>
    <row r="20" spans="1:12">
      <c r="A20" s="87" t="s">
        <v>36</v>
      </c>
      <c r="B20" s="90" t="s">
        <v>59</v>
      </c>
      <c r="C20" s="2">
        <f>IFERROR((s_DL)/(k_decay*Doses!E18*s_IFDres_adj*s_Fin*s_Fi),".")</f>
        <v>7.4145688522450392E-3</v>
      </c>
      <c r="D20" s="3">
        <f>IFERROR((s_DL)/(k_decay*Doses!L18*s_Fin*s_Fi*s_Fam*s_Foff*s_ETres*(1/24)*s_EFres*(1/365)*Isospec!R19),".")</f>
        <v>5433521.0993223041</v>
      </c>
      <c r="E20" s="3">
        <f t="shared" si="34"/>
        <v>7.4145688421271378E-3</v>
      </c>
      <c r="F20" s="2">
        <f t="shared" si="35"/>
        <v>2.7433904753306675E-4</v>
      </c>
      <c r="G20" s="3">
        <f t="shared" si="36"/>
        <v>201040.28067492545</v>
      </c>
      <c r="H20" s="5">
        <f t="shared" si="37"/>
        <v>2.7433904715870437E-4</v>
      </c>
      <c r="I20" s="2">
        <f>IFERROR(C20*Isospec!C19*Isospec!F19*SSLcm_m,".")</f>
        <v>1.652841225054716E-15</v>
      </c>
      <c r="J20" s="3">
        <f>IFERROR(D20*Isospec!C19*Isospec!F19*SSLcm_m,".")</f>
        <v>1.2112299243731842E-6</v>
      </c>
      <c r="K20" s="5">
        <f>IFERROR(E20*Isospec!C19*Isospec!F19*SSLcm_m,".")</f>
        <v>1.6528412227992532E-15</v>
      </c>
      <c r="L20" s="67">
        <f t="shared" si="38"/>
        <v>1.646034282952225</v>
      </c>
    </row>
    <row r="21" spans="1:12">
      <c r="A21" s="87" t="s">
        <v>37</v>
      </c>
      <c r="B21" s="12" t="s">
        <v>59</v>
      </c>
      <c r="C21" s="2" t="str">
        <f>IFERROR((s_DL)/(k_decay*Doses!E19*s_IFDres_adj*s_Fin*s_Fi),".")</f>
        <v>.</v>
      </c>
      <c r="D21" s="3">
        <f>IFERROR((s_DL)/(k_decay*Doses!L19*s_Fin*s_Fi*s_Fam*s_Foff*s_ETres*(1/24)*s_EFres*(1/365)*Isospec!R20),".")</f>
        <v>1396812.3945994333</v>
      </c>
      <c r="E21" s="3">
        <f t="shared" ref="E21:E23" si="39">IFERROR(IF(AND(ISNUMBER(C21),ISNUMBER(D21)),(1/((1/C21)+(1/D21))),IF(AND(ISNUMBER(C21),NOT(ISNUMBER(D21))),(1/(1/C21)),IF(AND(NOT(ISNUMBER(C21)),ISNUMBER(D21)),(1/(1/D21)),"."))),".")</f>
        <v>1396812.3945994333</v>
      </c>
      <c r="F21" s="2" t="str">
        <f t="shared" ref="F21:F23" si="40">IFERROR(C21/_1_bq,".")</f>
        <v>.</v>
      </c>
      <c r="G21" s="3">
        <f t="shared" ref="G21:G23" si="41">IFERROR(D21/_1_bq,".")</f>
        <v>51682.058600179087</v>
      </c>
      <c r="H21" s="5">
        <f t="shared" ref="H21:H23" si="42">IFERROR(E21/_1_bq,".")</f>
        <v>51682.058600179087</v>
      </c>
      <c r="I21" s="2" t="str">
        <f>IFERROR(C21*Isospec!C20*Isospec!F20*SSLcm_m,".")</f>
        <v>.</v>
      </c>
      <c r="J21" s="3">
        <f>IFERROR(D21*Isospec!C20*Isospec!F20*SSLcm_m,".")</f>
        <v>1.1094772421943798E-19</v>
      </c>
      <c r="K21" s="5">
        <f>IFERROR(E21*Isospec!C20*Isospec!F20*SSLcm_m,".")</f>
        <v>1.1094772421943798E-19</v>
      </c>
      <c r="L21" s="67">
        <f t="shared" si="38"/>
        <v>310092351.60107422</v>
      </c>
    </row>
    <row r="22" spans="1:12">
      <c r="A22" s="87" t="s">
        <v>38</v>
      </c>
      <c r="B22" s="90" t="s">
        <v>59</v>
      </c>
      <c r="C22" s="2" t="str">
        <f>IFERROR((s_DL)/(k_decay*Doses!E20*s_IFDres_adj*s_Fin*s_Fi),".")</f>
        <v>.</v>
      </c>
      <c r="D22" s="3">
        <f>IFERROR((s_DL)/(k_decay*Doses!L20*s_Fin*s_Fi*s_Fam*s_Foff*s_ETres*(1/24)*s_EFres*(1/365)*Isospec!R21),".")</f>
        <v>636557.36385961412</v>
      </c>
      <c r="E22" s="3">
        <f t="shared" si="39"/>
        <v>636557.36385961412</v>
      </c>
      <c r="F22" s="2" t="str">
        <f t="shared" si="40"/>
        <v>.</v>
      </c>
      <c r="G22" s="3">
        <f t="shared" si="41"/>
        <v>23552.622462805746</v>
      </c>
      <c r="H22" s="5">
        <f t="shared" si="42"/>
        <v>23552.622462805746</v>
      </c>
      <c r="I22" s="2" t="str">
        <f>IFERROR(C22*Isospec!C21*Isospec!F21*SSLcm_m,".")</f>
        <v>.</v>
      </c>
      <c r="J22" s="3">
        <f>IFERROR(D22*Isospec!C21*Isospec!F21*SSLcm_m,".")</f>
        <v>1.9871941853556189E-18</v>
      </c>
      <c r="K22" s="5">
        <f>IFERROR(E22*Isospec!C21*Isospec!F21*SSLcm_m,".")</f>
        <v>1.9871941853556189E-18</v>
      </c>
      <c r="L22" s="67">
        <f t="shared" si="38"/>
        <v>141315734.77683434</v>
      </c>
    </row>
    <row r="23" spans="1:12">
      <c r="A23" s="87" t="s">
        <v>39</v>
      </c>
      <c r="B23" s="90" t="s">
        <v>59</v>
      </c>
      <c r="C23" s="2" t="str">
        <f>IFERROR((s_DL)/(k_decay*Doses!E21*s_IFDres_adj*s_Fin*s_Fi),".")</f>
        <v>.</v>
      </c>
      <c r="D23" s="3">
        <f>IFERROR((s_DL)/(k_decay*Doses!L21*s_Fin*s_Fi*s_Fam*s_Foff*s_ETres*(1/24)*s_EFres*(1/365)*Isospec!R22),".")</f>
        <v>1808014359.1850209</v>
      </c>
      <c r="E23" s="3">
        <f t="shared" si="39"/>
        <v>1808014359.1850207</v>
      </c>
      <c r="F23" s="2" t="str">
        <f t="shared" si="40"/>
        <v>.</v>
      </c>
      <c r="G23" s="3">
        <f t="shared" si="41"/>
        <v>66896531.289845839</v>
      </c>
      <c r="H23" s="5">
        <f t="shared" si="42"/>
        <v>66896531.289845832</v>
      </c>
      <c r="I23" s="2" t="str">
        <f>IFERROR(C23*Isospec!C22*Isospec!F22*SSLcm_m,".")</f>
        <v>.</v>
      </c>
      <c r="J23" s="3">
        <f>IFERROR(D23*Isospec!C22*Isospec!F22*SSLcm_m,".")</f>
        <v>6.5091268855103811E-9</v>
      </c>
      <c r="K23" s="5">
        <f>IFERROR(E23*Isospec!C22*Isospec!F22*SSLcm_m,".")</f>
        <v>6.5091268855103811E-9</v>
      </c>
      <c r="L23" s="67">
        <f t="shared" si="38"/>
        <v>401379187739.07458</v>
      </c>
    </row>
    <row r="24" spans="1:12">
      <c r="A24" s="87" t="s">
        <v>26</v>
      </c>
      <c r="B24" s="12" t="s">
        <v>59</v>
      </c>
      <c r="C24" s="2">
        <f>IFERROR((s_DL)/(k_decay*Doses!E22*s_IFDres_adj*s_Fin*s_Fi),".")</f>
        <v>5.4518888619448813E-2</v>
      </c>
      <c r="D24" s="3">
        <f>IFERROR((s_DL)/(k_decay*Doses!L22*s_Fin*s_Fi*s_Fam*s_Foff*s_ETres*(1/24)*s_EFres*(1/365)*Isospec!R23),".")</f>
        <v>2079.7551296794832</v>
      </c>
      <c r="E24" s="3">
        <f t="shared" ref="E24:E25" si="43">IFERROR(IF(AND(ISNUMBER(C24),ISNUMBER(D24)),(1/((1/C24)+(1/D24))),IF(AND(ISNUMBER(C24),NOT(ISNUMBER(D24))),(1/(1/C24)),IF(AND(NOT(ISNUMBER(C24)),ISNUMBER(D24)),(1/(1/D24)),"."))),".")</f>
        <v>5.4517459493846697E-2</v>
      </c>
      <c r="F24" s="2">
        <f t="shared" ref="F24:F25" si="44">IFERROR(C24/_1_bq,".")</f>
        <v>2.0171988789196081E-3</v>
      </c>
      <c r="G24" s="3">
        <f t="shared" ref="G24:G25" si="45">IFERROR(D24/_1_bq,".")</f>
        <v>76.950939798140951</v>
      </c>
      <c r="H24" s="5">
        <f t="shared" ref="H24:H25" si="46">IFERROR(E24/_1_bq,".")</f>
        <v>2.0171460012723299E-3</v>
      </c>
      <c r="I24" s="2">
        <f>IFERROR(C24*Isospec!C23*Isospec!F23*SSLcm_m,".")</f>
        <v>1.402106321837709E-15</v>
      </c>
      <c r="J24" s="3">
        <f>IFERROR(D24*Isospec!C23*Isospec!F23*SSLcm_m,".")</f>
        <v>5.3486743567948556E-11</v>
      </c>
      <c r="K24" s="5">
        <f>IFERROR(E24*Isospec!C23*Isospec!F23*SSLcm_m,".")</f>
        <v>1.4020695678595527E-15</v>
      </c>
      <c r="L24" s="67">
        <f t="shared" ref="L24:L25" si="47">IF(E24&lt;&gt;".",E24*2.22*100,".")</f>
        <v>12.102876007633968</v>
      </c>
    </row>
    <row r="25" spans="1:12">
      <c r="A25" s="88" t="s">
        <v>27</v>
      </c>
      <c r="B25" s="90" t="s">
        <v>44</v>
      </c>
      <c r="C25" s="2">
        <f>IFERROR((s_DL)/(k_decay*Doses!E23*s_IFDres_adj*s_Fin*s_Fi),".")</f>
        <v>2.8643477906023881E-2</v>
      </c>
      <c r="D25" s="3">
        <f>IFERROR((s_DL)/(k_decay*Doses!L23*s_Fin*s_Fi*s_Fam*s_Foff*s_ETres*(1/24)*s_EFres*(1/365)*Isospec!R24),".")</f>
        <v>5126.2819012555665</v>
      </c>
      <c r="E25" s="3">
        <f t="shared" si="43"/>
        <v>2.8643317859374469E-2</v>
      </c>
      <c r="F25" s="2">
        <f t="shared" si="44"/>
        <v>1.0598086825228848E-3</v>
      </c>
      <c r="G25" s="3">
        <f t="shared" si="45"/>
        <v>189.67243034645614</v>
      </c>
      <c r="H25" s="5">
        <f t="shared" si="46"/>
        <v>1.0598027607968564E-3</v>
      </c>
      <c r="I25" s="2">
        <f>IFERROR(C25*Isospec!C24*Isospec!F24*SSLcm_m,".")</f>
        <v>2.9000948510291059E-11</v>
      </c>
      <c r="J25" s="3">
        <f>IFERROR(D25*Isospec!C24*Isospec!F24*SSLcm_m,".")</f>
        <v>5.1902578993832358E-6</v>
      </c>
      <c r="K25" s="5">
        <f>IFERROR(E25*Isospec!C24*Isospec!F24*SSLcm_m,".")</f>
        <v>2.9000786466259463E-11</v>
      </c>
      <c r="L25" s="67">
        <f t="shared" si="47"/>
        <v>6.3588165647811321</v>
      </c>
    </row>
    <row r="26" spans="1:12">
      <c r="A26" s="87" t="s">
        <v>30</v>
      </c>
      <c r="B26" s="90" t="s">
        <v>59</v>
      </c>
      <c r="C26" s="2" t="str">
        <f>IFERROR((s_DL)/(k_decay*Doses!E24*s_IFDres_adj*s_Fin*s_Fi),".")</f>
        <v>.</v>
      </c>
      <c r="D26" s="3">
        <f>IFERROR((s_DL)/(k_decay*Doses!L24*s_Fin*s_Fi*s_Fam*s_Foff*s_ETres*(1/24)*s_EFres*(1/365)*Isospec!R25),".")</f>
        <v>67022.805166379811</v>
      </c>
      <c r="E26" s="3">
        <f t="shared" ref="E26:E27" si="48">IFERROR(IF(AND(ISNUMBER(C26),ISNUMBER(D26)),(1/((1/C26)+(1/D26))),IF(AND(ISNUMBER(C26),NOT(ISNUMBER(D26))),(1/(1/C26)),IF(AND(NOT(ISNUMBER(C26)),ISNUMBER(D26)),(1/(1/D26)),"."))),".")</f>
        <v>67022.805166379811</v>
      </c>
      <c r="F26" s="2" t="str">
        <f t="shared" ref="F26:F27" si="49">IFERROR(C26/_1_bq,".")</f>
        <v>.</v>
      </c>
      <c r="G26" s="3">
        <f t="shared" ref="G26:G27" si="50">IFERROR(D26/_1_bq,".")</f>
        <v>2479.8437911560554</v>
      </c>
      <c r="H26" s="5">
        <f t="shared" ref="H26:H27" si="51">IFERROR(E26/_1_bq,".")</f>
        <v>2479.8437911560554</v>
      </c>
      <c r="I26" s="2" t="str">
        <f>IFERROR(C26*Isospec!C25*Isospec!F25*SSLcm_m,".")</f>
        <v>.</v>
      </c>
      <c r="J26" s="3">
        <f>IFERROR(D26*Isospec!C25*Isospec!F25*SSLcm_m,".")</f>
        <v>4.5404465042319546E-17</v>
      </c>
      <c r="K26" s="5">
        <f>IFERROR(E26*Isospec!C25*Isospec!F25*SSLcm_m,".")</f>
        <v>4.5404465042319546E-17</v>
      </c>
      <c r="L26" s="67">
        <f t="shared" ref="L26:L27" si="52">IF(E26&lt;&gt;".",E26*2.22*100,".")</f>
        <v>14879062.746936319</v>
      </c>
    </row>
    <row r="27" spans="1:12">
      <c r="A27" s="88" t="s">
        <v>31</v>
      </c>
      <c r="B27" s="90" t="s">
        <v>44</v>
      </c>
      <c r="C27" s="2" t="str">
        <f>IFERROR((s_DL)/(k_decay*Doses!E25*s_IFDres_adj*s_Fin*s_Fi),".")</f>
        <v>.</v>
      </c>
      <c r="D27" s="3">
        <f>IFERROR((s_DL)/(k_decay*Doses!L25*s_Fin*s_Fi*s_Fam*s_Foff*s_ETres*(1/24)*s_EFres*(1/365)*Isospec!R26),".")</f>
        <v>130442.23371091123</v>
      </c>
      <c r="E27" s="3">
        <f t="shared" si="48"/>
        <v>130442.23371091123</v>
      </c>
      <c r="F27" s="2" t="str">
        <f t="shared" si="49"/>
        <v>.</v>
      </c>
      <c r="G27" s="3">
        <f t="shared" si="50"/>
        <v>4826.3626473037202</v>
      </c>
      <c r="H27" s="5">
        <f t="shared" si="51"/>
        <v>4826.3626473037202</v>
      </c>
      <c r="I27" s="2" t="str">
        <f>IFERROR(C27*Isospec!C26*Isospec!F26*SSLcm_m,".")</f>
        <v>.</v>
      </c>
      <c r="J27" s="3">
        <f>IFERROR(D27*Isospec!C26*Isospec!F26*SSLcm_m,".")</f>
        <v>8.4937106678633471E-10</v>
      </c>
      <c r="K27" s="5">
        <f>IFERROR(E27*Isospec!C26*Isospec!F26*SSLcm_m,".")</f>
        <v>8.4937106678633471E-10</v>
      </c>
      <c r="L27" s="67">
        <f t="shared" si="52"/>
        <v>28958175.883822296</v>
      </c>
    </row>
    <row r="28" spans="1:12">
      <c r="A28" s="87" t="s">
        <v>35</v>
      </c>
      <c r="B28" s="12" t="s">
        <v>59</v>
      </c>
      <c r="C28" s="2">
        <f>IFERROR((s_DL)/(k_decay*Doses!E26*s_IFDres_adj*s_Fin*s_Fi),".")</f>
        <v>2.1306232334037466E-2</v>
      </c>
      <c r="D28" s="3">
        <f>IFERROR((s_DL)/(k_decay*Doses!L26*s_Fin*s_Fi*s_Fam*s_Foff*s_ETres*(1/24)*s_EFres*(1/365)*Isospec!R27),".")</f>
        <v>270.06840805446683</v>
      </c>
      <c r="E28" s="3">
        <f t="shared" ref="E28:E31" si="53">IFERROR(IF(AND(ISNUMBER(C28),ISNUMBER(D28)),(1/((1/C28)+(1/D28))),IF(AND(ISNUMBER(C28),NOT(ISNUMBER(D28))),(1/(1/C28)),IF(AND(NOT(ISNUMBER(C28)),ISNUMBER(D28)),(1/(1/D28)),"."))),".")</f>
        <v>2.1304551575710661E-2</v>
      </c>
      <c r="F28" s="2">
        <f t="shared" ref="F28:F31" si="54">IFERROR(C28/_1_bq,".")</f>
        <v>7.8833059635938707E-4</v>
      </c>
      <c r="G28" s="3">
        <f t="shared" ref="G28:G31" si="55">IFERROR(D28/_1_bq,".")</f>
        <v>9.9925310980152826</v>
      </c>
      <c r="H28" s="5">
        <f t="shared" ref="H28:H31" si="56">IFERROR(E28/_1_bq,".")</f>
        <v>7.8826840830129529E-4</v>
      </c>
      <c r="I28" s="2">
        <f>IFERROR(C28*Isospec!C27*Isospec!F27*SSLcm_m,".")</f>
        <v>1.0027582230677262E-10</v>
      </c>
      <c r="J28" s="3">
        <f>IFERROR(D28*Isospec!C27*Isospec!F27*SSLcm_m,".")</f>
        <v>1.2710521162148071E-6</v>
      </c>
      <c r="K28" s="5">
        <f>IFERROR(E28*Isospec!C27*Isospec!F27*SSLcm_m,".")</f>
        <v>1.0026791197233725E-10</v>
      </c>
      <c r="L28" s="67">
        <f t="shared" ref="L28:L31" si="57">IF(E28&lt;&gt;".",E28*2.22*100,".")</f>
        <v>4.7296104498077671</v>
      </c>
    </row>
    <row r="29" spans="1:12">
      <c r="A29" s="87" t="s">
        <v>40</v>
      </c>
      <c r="B29" s="90" t="s">
        <v>59</v>
      </c>
      <c r="C29" s="2" t="str">
        <f>IFERROR((s_DL)/(k_decay*Doses!E27*s_IFDres_adj*s_Fin*s_Fi),".")</f>
        <v>.</v>
      </c>
      <c r="D29" s="3">
        <f>IFERROR((s_DL)/(k_decay*Doses!L27*s_Fin*s_Fi*s_Fam*s_Foff*s_ETres*(1/24)*s_EFres*(1/365)*Isospec!R28),".")</f>
        <v>444.25419334098387</v>
      </c>
      <c r="E29" s="3">
        <f t="shared" si="53"/>
        <v>444.25419334098382</v>
      </c>
      <c r="F29" s="2" t="str">
        <f t="shared" si="54"/>
        <v>.</v>
      </c>
      <c r="G29" s="3">
        <f t="shared" si="55"/>
        <v>16.437405153616421</v>
      </c>
      <c r="H29" s="5">
        <f t="shared" si="56"/>
        <v>16.437405153616417</v>
      </c>
      <c r="I29" s="2" t="str">
        <f>IFERROR(C29*Isospec!C28*Isospec!F28*SSLcm_m,".")</f>
        <v>.</v>
      </c>
      <c r="J29" s="3">
        <f>IFERROR(D29*Isospec!C28*Isospec!F28*SSLcm_m,".")</f>
        <v>2.0476264052894543E-15</v>
      </c>
      <c r="K29" s="5">
        <f>IFERROR(E29*Isospec!C28*Isospec!F28*SSLcm_m,".")</f>
        <v>2.0476264052894543E-15</v>
      </c>
      <c r="L29" s="67">
        <f t="shared" si="57"/>
        <v>98624.430921698411</v>
      </c>
    </row>
    <row r="30" spans="1:12">
      <c r="A30" s="87" t="s">
        <v>41</v>
      </c>
      <c r="B30" s="12" t="s">
        <v>59</v>
      </c>
      <c r="C30" s="2" t="str">
        <f>IFERROR((s_DL)/(k_decay*Doses!E28*s_IFDres_adj*s_Fin*s_Fi),".")</f>
        <v>.</v>
      </c>
      <c r="D30" s="3">
        <f>IFERROR((s_DL)/(k_decay*Doses!L28*s_Fin*s_Fi*s_Fam*s_Foff*s_ETres*(1/24)*s_EFres*(1/365)*Isospec!R29),".")</f>
        <v>24.572999227273939</v>
      </c>
      <c r="E30" s="3">
        <f t="shared" si="53"/>
        <v>24.572999227273939</v>
      </c>
      <c r="F30" s="2" t="str">
        <f t="shared" si="54"/>
        <v>.</v>
      </c>
      <c r="G30" s="3">
        <f t="shared" si="55"/>
        <v>0.90920097140913669</v>
      </c>
      <c r="H30" s="5">
        <f t="shared" si="56"/>
        <v>0.90920097140913669</v>
      </c>
      <c r="I30" s="2" t="str">
        <f>IFERROR(C30*Isospec!C29*Isospec!F29*SSLcm_m,".")</f>
        <v>.</v>
      </c>
      <c r="J30" s="3">
        <f>IFERROR(D30*Isospec!C29*Isospec!F29*SSLcm_m,".")</f>
        <v>5.9123739494667455E-17</v>
      </c>
      <c r="K30" s="5">
        <f>IFERROR(E30*Isospec!C29*Isospec!F29*SSLcm_m,".")</f>
        <v>5.9123739494667455E-17</v>
      </c>
      <c r="L30" s="67">
        <f t="shared" si="57"/>
        <v>5455.2058284548157</v>
      </c>
    </row>
    <row r="31" spans="1:12">
      <c r="A31" s="87" t="s">
        <v>42</v>
      </c>
      <c r="B31" s="90" t="s">
        <v>59</v>
      </c>
      <c r="C31" s="2" t="str">
        <f>IFERROR((s_DL)/(k_decay*Doses!E29*s_IFDres_adj*s_Fin*s_Fi),".")</f>
        <v>.</v>
      </c>
      <c r="D31" s="3">
        <f>IFERROR((s_DL)/(k_decay*Doses!L29*s_Fin*s_Fi*s_Fam*s_Foff*s_ETres*(1/24)*s_EFres*(1/365)*Isospec!R30),".")</f>
        <v>18.631139703378707</v>
      </c>
      <c r="E31" s="3">
        <f t="shared" si="53"/>
        <v>18.631139703378707</v>
      </c>
      <c r="F31" s="2" t="str">
        <f t="shared" si="54"/>
        <v>.</v>
      </c>
      <c r="G31" s="3">
        <f t="shared" si="55"/>
        <v>0.68935216902501284</v>
      </c>
      <c r="H31" s="5">
        <f t="shared" si="56"/>
        <v>0.68935216902501284</v>
      </c>
      <c r="I31" s="2" t="str">
        <f>IFERROR(C31*Isospec!C30*Isospec!F30*SSLcm_m,".")</f>
        <v>.</v>
      </c>
      <c r="J31" s="3">
        <f>IFERROR(D31*Isospec!C30*Isospec!F30*SSLcm_m,".")</f>
        <v>2.7095972582310628E-17</v>
      </c>
      <c r="K31" s="5">
        <f>IFERROR(E31*Isospec!C30*Isospec!F30*SSLcm_m,".")</f>
        <v>2.7095972582310628E-17</v>
      </c>
      <c r="L31" s="67">
        <f t="shared" si="57"/>
        <v>4136.1130141500735</v>
      </c>
    </row>
    <row r="32" spans="1:12">
      <c r="A32" s="87" t="s">
        <v>25</v>
      </c>
      <c r="B32" s="12" t="s">
        <v>59</v>
      </c>
      <c r="C32" s="2">
        <f>IFERROR((s_DL)/(k_decay*Doses!E30*s_IFDres_adj*s_Fin*s_Fi),".")</f>
        <v>0.21553979221642555</v>
      </c>
      <c r="D32" s="3">
        <f>IFERROR((s_DL)/(k_decay*Doses!L30*s_Fin*s_Fi*s_Fam*s_Foff*s_ETres*(1/24)*s_EFres*(1/365)*Isospec!R31),".")</f>
        <v>36372.994755369247</v>
      </c>
      <c r="E32" s="3">
        <f t="shared" ref="E32" si="58">IFERROR(IF(AND(ISNUMBER(C32),ISNUMBER(D32)),(1/((1/C32)+(1/D32))),IF(AND(ISNUMBER(C32),NOT(ISNUMBER(D32))),(1/(1/C32)),IF(AND(NOT(ISNUMBER(C32)),ISNUMBER(D32)),(1/(1/D32)),"."))),".")</f>
        <v>0.21553851497414608</v>
      </c>
      <c r="F32" s="2">
        <f t="shared" ref="F32" si="59">IFERROR(C32/_1_bq,".")</f>
        <v>7.9749723120077533E-3</v>
      </c>
      <c r="G32" s="3">
        <f t="shared" ref="G32" si="60">IFERROR(D32/_1_bq,".")</f>
        <v>1345.8008059486635</v>
      </c>
      <c r="H32" s="5">
        <f t="shared" ref="H32" si="61">IFERROR(E32/_1_bq,".")</f>
        <v>7.9749250540434129E-3</v>
      </c>
      <c r="I32" s="2">
        <f>IFERROR(C32*Isospec!C31*Isospec!F31*SSLcm_m,".")</f>
        <v>2.2386411142365769E-8</v>
      </c>
      <c r="J32" s="3">
        <f>IFERROR(D32*Isospec!C31*Isospec!F31*SSLcm_m,".")</f>
        <v>3.7777748911217413E-3</v>
      </c>
      <c r="K32" s="5">
        <f>IFERROR(E32*Isospec!C31*Isospec!F31*SSLcm_m,".")</f>
        <v>2.2386278485325962E-8</v>
      </c>
      <c r="L32" s="67">
        <f t="shared" ref="L32" si="62">IF(E32&lt;&gt;".",E32*2.22*100,".")</f>
        <v>47.849550324260434</v>
      </c>
    </row>
    <row r="33" spans="1:12">
      <c r="A33" s="30" t="s">
        <v>14</v>
      </c>
      <c r="B33" s="30" t="s">
        <v>59</v>
      </c>
      <c r="C33" s="76">
        <f>IFERROR(1/SUM(1/C34,1/C35,1/C36,1/C37,1/C38,1/C39,1/C40,1/C43,1/C46),0)</f>
        <v>9.7990193307844163E-3</v>
      </c>
      <c r="D33" s="77">
        <f>IFERROR(1/SUM(1/D34,1/D35,1/D36,1/D37,1/D38,1/D39,1/D40,1/D41,1/D42,1/D43,1/D44,1/D45,1/D46),0)</f>
        <v>51.828847159629881</v>
      </c>
      <c r="E33" s="78">
        <f>IFERROR(1/SUM(1/E34,1/E35,1/E36,1/E37,1/E38,1/E39,1/E40,1/E41,1/E42,1/E43,1/E44,1/E45,1/E46),0)</f>
        <v>9.7971670297132551E-3</v>
      </c>
      <c r="F33" s="76">
        <f>IFERROR(1/SUM(1/F34,1/F35,1/F36,1/F37,1/F38,1/F39,1/F40,1/F43,1/F46),0)</f>
        <v>3.6256371523902381E-4</v>
      </c>
      <c r="G33" s="77">
        <f>IFERROR(1/SUM(1/G34,1/G35,1/G36,1/G37,1/G38,1/G39,1/G40,1/G41,1/G42,1/G43,1/G44,1/G45,1/G46),0)</f>
        <v>1.9176673449063075</v>
      </c>
      <c r="H33" s="78">
        <f>IFERROR(1/SUM(1/H34,1/H35,1/H36,1/H37,1/H38,1/H39,1/H40,1/H41,1/H42,1/H43,1/H44,1/H45,1/H46),0)</f>
        <v>3.624951800993907E-4</v>
      </c>
      <c r="I33" s="20">
        <f>IFERROR(C33*Isospec!$C$4*Isospec!$F$4*SSLcm_m,".")</f>
        <v>2.8578698772354388E-12</v>
      </c>
      <c r="J33" s="19">
        <f>IFERROR(D33*Isospec!$C$4*Isospec!$F$4*SSLcm_m,".")</f>
        <v>1.5115808640566145E-8</v>
      </c>
      <c r="K33" s="19">
        <f>IFERROR(E33*Isospec!$C$4*Isospec!$F$4*SSLcm_m,".")</f>
        <v>2.8573296562953482E-12</v>
      </c>
      <c r="L33" s="94">
        <f>IF(E33&lt;&gt;".",E33*2.22*100,".")</f>
        <v>2.1749710805963431</v>
      </c>
    </row>
    <row r="34" spans="1:12">
      <c r="A34" s="31" t="s">
        <v>175</v>
      </c>
      <c r="B34" s="32">
        <v>1</v>
      </c>
      <c r="C34" s="70">
        <f>IFERROR(VLOOKUP("Am-241",$A$4:$L$32,3)/$B34,0)</f>
        <v>5.4518888619448813E-2</v>
      </c>
      <c r="D34" s="71">
        <f>IFERROR(VLOOKUP("Am-241",$A$4:$L$32,4)/$B34,0)</f>
        <v>980.97743950777374</v>
      </c>
      <c r="E34" s="72">
        <f>IFERROR(IF(AND(C34&lt;&gt;0,D34&lt;&gt;0),(1/((1/C34)+(1/D34))),IF(AND(C34&lt;&gt;0,D34=0),(1/(1/C34)),IF(AND(C34=0,D34&lt;&gt;0),(1/(1/D34)),0))),0)</f>
        <v>5.4515858841274037E-2</v>
      </c>
      <c r="F34" s="70">
        <f>IFERROR(VLOOKUP("Am-241",$A$4:$L$32,6)/$B34,0)</f>
        <v>2.0171988789196081E-3</v>
      </c>
      <c r="G34" s="71">
        <f>IFERROR(VLOOKUP("Am-241",$A$4:$L$32,7)/$B34,0)</f>
        <v>36.296165261787664</v>
      </c>
      <c r="H34" s="72">
        <f>IFERROR(IF(AND(F34&lt;&gt;0,G34&lt;&gt;0),(1/((1/F34)+(1/G34))),IF(AND(F34&lt;&gt;0,G34=0),(1/(1/F34)),IF(AND(F34=0,G34&lt;&gt;0),(1/(1/G34)),0))),0)</f>
        <v>2.0170867771271417E-3</v>
      </c>
      <c r="I34" s="70">
        <f>IFERROR(VLOOKUP("Am-241",$A$4:$L$32,9)/$B34,0)</f>
        <v>1.5900355358662637E-11</v>
      </c>
      <c r="J34" s="71">
        <f>IFERROR(VLOOKUP("Am-241",$A$4:$L$32,10)/$B34,0)</f>
        <v>2.8610065762492932E-7</v>
      </c>
      <c r="K34" s="71">
        <f>IFERROR(VLOOKUP("Am-241",$A$4:$L$32,11)/$B34,0)</f>
        <v>1.589947172822084E-11</v>
      </c>
      <c r="L34" s="95">
        <f t="shared" ref="L34:L67" si="63">IF(E34&lt;&gt;".",E34*2.22*100,".")</f>
        <v>12.102520662762837</v>
      </c>
    </row>
    <row r="35" spans="1:12">
      <c r="A35" s="31" t="s">
        <v>176</v>
      </c>
      <c r="B35" s="32">
        <v>1</v>
      </c>
      <c r="C35" s="70">
        <f>IFERROR(VLOOKUP("Np-237",$A$4:$L$32,3)/$B35,0)</f>
        <v>0.10380396393143053</v>
      </c>
      <c r="D35" s="71">
        <f>IFERROR(VLOOKUP("Np-237",$A$4:$L$32,4)/$B35,0)</f>
        <v>819.74530618180904</v>
      </c>
      <c r="E35" s="72">
        <f t="shared" ref="E35:E46" si="64">IFERROR(IF(AND(C35&lt;&gt;0,D35&lt;&gt;0),(1/((1/C35)+(1/D35))),IF(AND(C35&lt;&gt;0,D35=0),(1/(1/C35)),IF(AND(C35=0,D35&lt;&gt;0),(1/(1/D35)),0))),0)</f>
        <v>0.10379082094841752</v>
      </c>
      <c r="F35" s="70">
        <f>IFERROR(VLOOKUP("Np-237",$A$4:$L$32,6)/$B35,0)</f>
        <v>3.8407466654629334E-3</v>
      </c>
      <c r="G35" s="71">
        <f>IFERROR(VLOOKUP("Np-237",$A$4:$L$32,7)/$B35,0)</f>
        <v>30.330576328726966</v>
      </c>
      <c r="H35" s="72">
        <f t="shared" ref="H35" si="65">IFERROR(IF(AND(F35&lt;&gt;0,G35&lt;&gt;0),(1/((1/F35)+(1/G35))),IF(AND(F35&lt;&gt;0,G35=0),(1/(1/F35)),IF(AND(F35=0,G35&lt;&gt;0),(1/(1/G35)),0))),0)</f>
        <v>3.8402603750914521E-3</v>
      </c>
      <c r="I35" s="70">
        <f>IFERROR(VLOOKUP("Np-237",$A$4:$L$32,9)/$B35,0)</f>
        <v>1.4768796163673982E-7</v>
      </c>
      <c r="J35" s="71">
        <f>IFERROR(VLOOKUP("Np-237",$A$4:$L$32,10)/$B35,0)</f>
        <v>1.1662995202307406E-3</v>
      </c>
      <c r="K35" s="71">
        <f>IFERROR(VLOOKUP("Np-237",$A$4:$L$32,11)/$B35,0)</f>
        <v>1.4766926234725701E-7</v>
      </c>
      <c r="L35" s="95">
        <f t="shared" si="63"/>
        <v>23.04156225054869</v>
      </c>
    </row>
    <row r="36" spans="1:12">
      <c r="A36" s="31" t="s">
        <v>177</v>
      </c>
      <c r="B36" s="32">
        <v>1</v>
      </c>
      <c r="C36" s="70">
        <f>IFERROR(VLOOKUP("Pa-233",$A$4:$L$32,3)/$B36,0)</f>
        <v>9.8299208268400111</v>
      </c>
      <c r="D36" s="71">
        <f>IFERROR(VLOOKUP("Pa-233",$A$4:$L$32,4)/$B36,0)</f>
        <v>147.98104507032372</v>
      </c>
      <c r="E36" s="72">
        <f>IFERROR(IF(AND(C36&lt;&gt;0,D36&lt;&gt;0),(1/((1/C36)+(1/D36))),IF(AND(C36&lt;&gt;0,D36=0),(1/(1/C36)),IF(AND(C36=0,D36&lt;&gt;0),(1/(1/D36)),0))),0)</f>
        <v>9.2176227972790663</v>
      </c>
      <c r="F36" s="70">
        <f>IFERROR(VLOOKUP("Pa-233",$A$4:$L$32,6)/$B36,0)</f>
        <v>0.36370707059308077</v>
      </c>
      <c r="G36" s="71">
        <f>IFERROR(VLOOKUP("Pa-233",$A$4:$L$32,7)/$B36,0)</f>
        <v>5.475298667601983</v>
      </c>
      <c r="H36" s="72">
        <f>IFERROR(IF(AND(F36&lt;&gt;0,G36&lt;&gt;0),(1/((1/F36)+(1/G36))),IF(AND(F36&lt;&gt;0,G36=0),(1/(1/F36)),IF(AND(F36=0,G36&lt;&gt;0),(1/(1/G36)),0))),0)</f>
        <v>0.34105204349932577</v>
      </c>
      <c r="I36" s="70">
        <f>IFERROR(VLOOKUP("Pa-233",$A$4:$L$32,9)/$B36,0)</f>
        <v>4.7380947684700391E-13</v>
      </c>
      <c r="J36" s="71">
        <f>IFERROR(VLOOKUP("Pa-233",$A$4:$L$32,10)/$B36,0)</f>
        <v>7.1327961621622287E-12</v>
      </c>
      <c r="K36" s="71">
        <f>IFERROR(VLOOKUP("Pa-233",$A$4:$L$32,11)/$B36,0)</f>
        <v>4.4429625754735428E-13</v>
      </c>
      <c r="L36" s="95">
        <f t="shared" si="63"/>
        <v>2046.312260995953</v>
      </c>
    </row>
    <row r="37" spans="1:12">
      <c r="A37" s="31" t="s">
        <v>178</v>
      </c>
      <c r="B37" s="32">
        <v>1</v>
      </c>
      <c r="C37" s="70">
        <f>IFERROR(VLOOKUP("U-233",$A$4:$L$32,3)/$B37,0)</f>
        <v>0.21553979221642555</v>
      </c>
      <c r="D37" s="71">
        <f>IFERROR(VLOOKUP("U-233",$A$4:$L$32,4)/$B37,0)</f>
        <v>36372.994755369247</v>
      </c>
      <c r="E37" s="72">
        <f t="shared" si="64"/>
        <v>0.21553851497414608</v>
      </c>
      <c r="F37" s="70">
        <f>IFERROR(VLOOKUP("U-233",$A$4:$L$32,6)/$B37,0)</f>
        <v>7.9749723120077533E-3</v>
      </c>
      <c r="G37" s="71">
        <f>IFERROR(VLOOKUP("U-233",$A$4:$L$32,7)/$B37,0)</f>
        <v>1345.8008059486635</v>
      </c>
      <c r="H37" s="72">
        <f t="shared" ref="H37:H46" si="66">IFERROR(IF(AND(F37&lt;&gt;0,G37&lt;&gt;0),(1/((1/F37)+(1/G37))),IF(AND(F37&lt;&gt;0,G37=0),(1/(1/F37)),IF(AND(F37=0,G37&lt;&gt;0),(1/(1/G37)),0))),0)</f>
        <v>7.9749250540434146E-3</v>
      </c>
      <c r="I37" s="70">
        <f>IFERROR(VLOOKUP("U-233",$A$4:$L$32,9)/$B37,0)</f>
        <v>2.2386411142365769E-8</v>
      </c>
      <c r="J37" s="71">
        <f>IFERROR(VLOOKUP("U-233",$A$4:$L$32,10)/$B37,0)</f>
        <v>3.7777748911217413E-3</v>
      </c>
      <c r="K37" s="72">
        <f>IFERROR(VLOOKUP("U-233",$A$4:$L$32,11)/$B37,0)</f>
        <v>2.2386278485325962E-8</v>
      </c>
      <c r="L37" s="69">
        <f t="shared" si="63"/>
        <v>47.849550324260434</v>
      </c>
    </row>
    <row r="38" spans="1:12">
      <c r="A38" s="31" t="s">
        <v>179</v>
      </c>
      <c r="B38" s="32">
        <v>1</v>
      </c>
      <c r="C38" s="70">
        <f>IFERROR(VLOOKUP("Th-229",$A$4:$L$32,3)/$B38,0)</f>
        <v>2.1306232334037466E-2</v>
      </c>
      <c r="D38" s="71">
        <f>IFERROR(VLOOKUP("Th-229",$A$4:$L$32,4)/$B38,0)</f>
        <v>270.06840805446683</v>
      </c>
      <c r="E38" s="72">
        <f t="shared" si="64"/>
        <v>2.1304551575710661E-2</v>
      </c>
      <c r="F38" s="70">
        <f>IFERROR(VLOOKUP("Th-229",$A$4:$L$32,6)/$B38,0)</f>
        <v>7.8833059635938707E-4</v>
      </c>
      <c r="G38" s="71">
        <f>IFERROR(VLOOKUP("Th-229",$A$4:$L$32,7)/$B38,0)</f>
        <v>9.9925310980152826</v>
      </c>
      <c r="H38" s="72">
        <f t="shared" si="66"/>
        <v>7.8826840830129518E-4</v>
      </c>
      <c r="I38" s="70">
        <f>IFERROR(VLOOKUP("Th-229",$A$4:$L$32,9)/$B38,0)</f>
        <v>1.0027582230677262E-10</v>
      </c>
      <c r="J38" s="71">
        <f>IFERROR(VLOOKUP("Th-229",$A$4:$L$32,10)/$B38,0)</f>
        <v>1.2710521162148071E-6</v>
      </c>
      <c r="K38" s="72">
        <f>IFERROR(VLOOKUP("Th-229",$A$4:$L$32,11)/$B38,0)</f>
        <v>1.0026791197233725E-10</v>
      </c>
      <c r="L38" s="69">
        <f t="shared" si="63"/>
        <v>4.7296104498077671</v>
      </c>
    </row>
    <row r="39" spans="1:12">
      <c r="A39" s="31" t="s">
        <v>180</v>
      </c>
      <c r="B39" s="32">
        <v>1</v>
      </c>
      <c r="C39" s="70">
        <f>IFERROR(VLOOKUP("Ra-225",$A$4:$L$32,3)/$B39,0)</f>
        <v>5.4518888619448813E-2</v>
      </c>
      <c r="D39" s="71">
        <f>IFERROR(VLOOKUP("Ra-225",$A$4:$L$32,4)/$B39,0)</f>
        <v>2079.7551296794832</v>
      </c>
      <c r="E39" s="72">
        <f t="shared" si="64"/>
        <v>5.4517459493846697E-2</v>
      </c>
      <c r="F39" s="70">
        <f>IFERROR(VLOOKUP("Ra-225",$A$4:$L$32,6)/$B39,0)</f>
        <v>2.0171988789196081E-3</v>
      </c>
      <c r="G39" s="71">
        <f>IFERROR(VLOOKUP("Ra-225",$A$4:$L$32,7)/$B39,0)</f>
        <v>76.950939798140951</v>
      </c>
      <c r="H39" s="72">
        <f t="shared" si="66"/>
        <v>2.0171460012723299E-3</v>
      </c>
      <c r="I39" s="70">
        <f>IFERROR(VLOOKUP("Ra-225",$A$4:$L$32,9)/$B39,0)</f>
        <v>1.402106321837709E-15</v>
      </c>
      <c r="J39" s="71">
        <f>IFERROR(VLOOKUP("Ra-225",$A$4:$L$32,10)/$B39,0)</f>
        <v>5.3486743567948556E-11</v>
      </c>
      <c r="K39" s="72">
        <f>IFERROR(VLOOKUP("Ra-225",$A$4:$L$32,11)/$B39,0)</f>
        <v>1.4020695678595527E-15</v>
      </c>
      <c r="L39" s="69">
        <f t="shared" si="63"/>
        <v>12.102876007633968</v>
      </c>
    </row>
    <row r="40" spans="1:12">
      <c r="A40" s="31" t="s">
        <v>181</v>
      </c>
      <c r="B40" s="32">
        <v>1</v>
      </c>
      <c r="C40" s="70">
        <f>IFERROR(VLOOKUP("Ac-225",$A$4:$L$32,3)/$B40,0)</f>
        <v>0.2480974281343942</v>
      </c>
      <c r="D40" s="71">
        <f>IFERROR(VLOOKUP("Ac-225",$A$4:$L$32,4)/$B40,0)</f>
        <v>1477.0633278354287</v>
      </c>
      <c r="E40" s="72">
        <f t="shared" si="64"/>
        <v>0.24805576303061561</v>
      </c>
      <c r="F40" s="70">
        <f>IFERROR(VLOOKUP("Ac-225",$A$4:$L$32,6)/$B40,0)</f>
        <v>9.1796048409725946E-3</v>
      </c>
      <c r="G40" s="71">
        <f>IFERROR(VLOOKUP("Ac-225",$A$4:$L$32,7)/$B40,0)</f>
        <v>54.65134312991092</v>
      </c>
      <c r="H40" s="72">
        <f t="shared" si="66"/>
        <v>9.1780632321327871E-3</v>
      </c>
      <c r="I40" s="70">
        <f>IFERROR(VLOOKUP("Ac-225",$A$4:$L$32,9)/$B40,0)</f>
        <v>4.2822295814978254E-15</v>
      </c>
      <c r="J40" s="71">
        <f>IFERROR(VLOOKUP("Ac-225",$A$4:$L$32,10)/$B40,0)</f>
        <v>2.549451771332421E-11</v>
      </c>
      <c r="K40" s="72">
        <f>IFERROR(VLOOKUP("Ac-225",$A$4:$L$32,11)/$B40,0)</f>
        <v>4.2815104303915104E-15</v>
      </c>
      <c r="L40" s="69">
        <f t="shared" si="63"/>
        <v>55.068379392796672</v>
      </c>
    </row>
    <row r="41" spans="1:12">
      <c r="A41" s="31" t="s">
        <v>182</v>
      </c>
      <c r="B41" s="32">
        <v>1</v>
      </c>
      <c r="C41" s="70">
        <f>IFERROR(VLOOKUP("Fr-221",$A$4:$L$32,3)/$B41,0)</f>
        <v>0</v>
      </c>
      <c r="D41" s="71">
        <f>IFERROR(VLOOKUP("Fr-221",$A$4:$L$32,4)/$B41,0)</f>
        <v>1377.6246294905477</v>
      </c>
      <c r="E41" s="72">
        <f t="shared" si="64"/>
        <v>1377.6246294905477</v>
      </c>
      <c r="F41" s="70">
        <f>IFERROR(VLOOKUP("Fr-221",$A$4:$L$32,6)/$B41,0)</f>
        <v>0</v>
      </c>
      <c r="G41" s="71">
        <f>IFERROR(VLOOKUP("Fr-221",$A$4:$L$32,7)/$B41,0)</f>
        <v>50.97211129115032</v>
      </c>
      <c r="H41" s="72">
        <f t="shared" si="66"/>
        <v>50.972111291150327</v>
      </c>
      <c r="I41" s="70">
        <f>IFERROR(VLOOKUP("Fr-221",$A$4:$L$32,9)/$B41,0)</f>
        <v>0</v>
      </c>
      <c r="J41" s="71">
        <f>IFERROR(VLOOKUP("Fr-221",$A$4:$L$32,10)/$B41,0)</f>
        <v>7.9473424497162963E-15</v>
      </c>
      <c r="K41" s="72">
        <f>IFERROR(VLOOKUP("Fr-221",$A$4:$L$32,11)/$B41,0)</f>
        <v>7.9473424497162963E-15</v>
      </c>
      <c r="L41" s="69">
        <f t="shared" si="63"/>
        <v>305832.66774690157</v>
      </c>
    </row>
    <row r="42" spans="1:12">
      <c r="A42" s="31" t="s">
        <v>183</v>
      </c>
      <c r="B42" s="32">
        <v>1</v>
      </c>
      <c r="C42" s="70">
        <f>IFERROR(VLOOKUP("At-217",$A$4:$L$32,3)/$B42,0)</f>
        <v>0</v>
      </c>
      <c r="D42" s="71">
        <f>IFERROR(VLOOKUP("At-217",$A$4:$L$32,4)/$B42,0)</f>
        <v>172715.41115562711</v>
      </c>
      <c r="E42" s="72">
        <f t="shared" si="64"/>
        <v>172715.41115562711</v>
      </c>
      <c r="F42" s="70">
        <f>IFERROR(VLOOKUP("At-217",$A$4:$L$32,6)/$B42,0)</f>
        <v>0</v>
      </c>
      <c r="G42" s="71">
        <f>IFERROR(VLOOKUP("At-217",$A$4:$L$32,7)/$B42,0)</f>
        <v>6390.4702127582095</v>
      </c>
      <c r="H42" s="72">
        <f t="shared" si="66"/>
        <v>6390.4702127582095</v>
      </c>
      <c r="I42" s="70">
        <f>IFERROR(VLOOKUP("At-217",$A$4:$L$32,9)/$B42,0)</f>
        <v>0</v>
      </c>
      <c r="J42" s="71">
        <f>IFERROR(VLOOKUP("At-217",$A$4:$L$32,10)/$B42,0)</f>
        <v>1.0748423539214071E-16</v>
      </c>
      <c r="K42" s="72">
        <f>IFERROR(VLOOKUP("At-217",$A$4:$L$32,11)/$B42,0)</f>
        <v>1.0748423539214071E-16</v>
      </c>
      <c r="L42" s="69">
        <f t="shared" si="63"/>
        <v>38342821.27654922</v>
      </c>
    </row>
    <row r="43" spans="1:12">
      <c r="A43" s="31" t="s">
        <v>184</v>
      </c>
      <c r="B43" s="33">
        <v>0.99987999999999999</v>
      </c>
      <c r="C43" s="70">
        <f>IFERROR(VLOOKUP("Bi-213",$A$4:$L$32,3)/$B43,0)</f>
        <v>48.421838573721459</v>
      </c>
      <c r="D43" s="71">
        <f>IFERROR(VLOOKUP("Bi-213",$A$4:$L$32,4)/$B43,0)</f>
        <v>280.80603558577394</v>
      </c>
      <c r="E43" s="72">
        <f t="shared" si="64"/>
        <v>41.300101215226547</v>
      </c>
      <c r="F43" s="70">
        <f>IFERROR(VLOOKUP("Bi-213",$A$4:$L$32,6)/$B43,0)</f>
        <v>1.7916080272276957</v>
      </c>
      <c r="G43" s="71">
        <f>IFERROR(VLOOKUP("Bi-213",$A$4:$L$32,7)/$B43,0)</f>
        <v>10.389823316673647</v>
      </c>
      <c r="H43" s="72">
        <f t="shared" si="66"/>
        <v>1.5281037449633836</v>
      </c>
      <c r="I43" s="70">
        <f>IFERROR(VLOOKUP("Bi-213",$A$4:$L$32,9)/$B43,0)</f>
        <v>2.5049158799686235E-15</v>
      </c>
      <c r="J43" s="71">
        <f>IFERROR(VLOOKUP("Bi-213",$A$4:$L$32,10)/$B43,0)</f>
        <v>1.4526410364590588E-14</v>
      </c>
      <c r="K43" s="72">
        <f>IFERROR(VLOOKUP("Bi-213",$A$4:$L$32,11)/$B43,0)</f>
        <v>2.1365004391732566E-15</v>
      </c>
      <c r="L43" s="69">
        <f t="shared" si="63"/>
        <v>9168.6224697802936</v>
      </c>
    </row>
    <row r="44" spans="1:12">
      <c r="A44" s="31" t="s">
        <v>185</v>
      </c>
      <c r="B44" s="32">
        <v>0.97898250799999997</v>
      </c>
      <c r="C44" s="70">
        <f>IFERROR(VLOOKUP("Po-213",$A$4:$L$32,3)/$B44,0)</f>
        <v>0</v>
      </c>
      <c r="D44" s="71">
        <f>IFERROR(VLOOKUP("Po-213",$A$4:$L$32,4)/$B44,0)</f>
        <v>1426800.1554522498</v>
      </c>
      <c r="E44" s="72">
        <f t="shared" si="64"/>
        <v>1426800.1554522498</v>
      </c>
      <c r="F44" s="70">
        <f>IFERROR(VLOOKUP("Po-213",$A$4:$L$32,6)/$B44,0)</f>
        <v>0</v>
      </c>
      <c r="G44" s="71">
        <f>IFERROR(VLOOKUP("Po-213",$A$4:$L$32,7)/$B44,0)</f>
        <v>52791.605751733296</v>
      </c>
      <c r="H44" s="72">
        <f t="shared" si="66"/>
        <v>52791.605751733288</v>
      </c>
      <c r="I44" s="70">
        <f>IFERROR(VLOOKUP("Po-213",$A$4:$L$32,9)/$B44,0)</f>
        <v>0</v>
      </c>
      <c r="J44" s="71">
        <f>IFERROR(VLOOKUP("Po-213",$A$4:$L$32,10)/$B44,0)</f>
        <v>1.1332962878580664E-19</v>
      </c>
      <c r="K44" s="72">
        <f>IFERROR(VLOOKUP("Po-213",$A$4:$L$32,11)/$B44,0)</f>
        <v>1.1332962878580664E-19</v>
      </c>
      <c r="L44" s="69">
        <f t="shared" si="63"/>
        <v>316749634.51039952</v>
      </c>
    </row>
    <row r="45" spans="1:12">
      <c r="A45" s="31" t="s">
        <v>186</v>
      </c>
      <c r="B45" s="32">
        <v>2.0897492E-2</v>
      </c>
      <c r="C45" s="70">
        <f>IFERROR(VLOOKUP("Tl-209",$A$4:$L$32,3)/$B45,0)</f>
        <v>0</v>
      </c>
      <c r="D45" s="71">
        <f>IFERROR(VLOOKUP("Tl-209",$A$4:$L$32,4)/$B45,0)</f>
        <v>1175.882695745209</v>
      </c>
      <c r="E45" s="72">
        <f t="shared" si="64"/>
        <v>1175.882695745209</v>
      </c>
      <c r="F45" s="70">
        <f>IFERROR(VLOOKUP("Tl-209",$A$4:$L$32,6)/$B45,0)</f>
        <v>0</v>
      </c>
      <c r="G45" s="71">
        <f>IFERROR(VLOOKUP("Tl-209",$A$4:$L$32,7)/$B45,0)</f>
        <v>43.507659742572777</v>
      </c>
      <c r="H45" s="72">
        <f t="shared" si="66"/>
        <v>43.507659742572777</v>
      </c>
      <c r="I45" s="70">
        <f>IFERROR(VLOOKUP("Tl-209",$A$4:$L$32,9)/$B45,0)</f>
        <v>0</v>
      </c>
      <c r="J45" s="71">
        <f>IFERROR(VLOOKUP("Tl-209",$A$4:$L$32,10)/$B45,0)</f>
        <v>2.8292265643488441E-15</v>
      </c>
      <c r="K45" s="72">
        <f>IFERROR(VLOOKUP("Tl-209",$A$4:$L$32,11)/$B45,0)</f>
        <v>2.8292265643488441E-15</v>
      </c>
      <c r="L45" s="69">
        <f t="shared" si="63"/>
        <v>261045.95845543646</v>
      </c>
    </row>
    <row r="46" spans="1:12">
      <c r="A46" s="31" t="s">
        <v>187</v>
      </c>
      <c r="B46" s="32">
        <v>0.99987999999999999</v>
      </c>
      <c r="C46" s="70">
        <f>IFERROR(VLOOKUP("Pb-209",$A$4:$L$32,3)/$B46,0)</f>
        <v>173.72225887225366</v>
      </c>
      <c r="D46" s="71">
        <f>IFERROR(VLOOKUP("Pb-209",$A$4:$L$32,4)/$B46,0)</f>
        <v>3769.5104881489824</v>
      </c>
      <c r="E46" s="72">
        <f t="shared" si="64"/>
        <v>166.06878641352645</v>
      </c>
      <c r="F46" s="70">
        <f>IFERROR(VLOOKUP("Pb-209",$A$4:$L$32,6)/$B46,0)</f>
        <v>6.4277235782733921</v>
      </c>
      <c r="G46" s="71">
        <f>IFERROR(VLOOKUP("Pb-209",$A$4:$L$32,7)/$B46,0)</f>
        <v>139.47188806151252</v>
      </c>
      <c r="H46" s="72">
        <f t="shared" si="66"/>
        <v>6.1445450973004858</v>
      </c>
      <c r="I46" s="70">
        <f>IFERROR(VLOOKUP("Pb-209",$A$4:$L$32,9)/$B46,0)</f>
        <v>3.7751980701691226E-14</v>
      </c>
      <c r="J46" s="71">
        <f>IFERROR(VLOOKUP("Pb-209",$A$4:$L$32,10)/$B46,0)</f>
        <v>8.1916093036798398E-13</v>
      </c>
      <c r="K46" s="72">
        <f>IFERROR(VLOOKUP("Pb-209",$A$4:$L$32,11)/$B46,0)</f>
        <v>3.6088787128003794E-14</v>
      </c>
      <c r="L46" s="69">
        <f t="shared" si="63"/>
        <v>36867.270583802878</v>
      </c>
    </row>
    <row r="47" spans="1:12">
      <c r="A47" s="30" t="s">
        <v>17</v>
      </c>
      <c r="B47" s="30" t="s">
        <v>59</v>
      </c>
      <c r="C47" s="76">
        <f>IFERROR(1/SUM(1/C48),0)</f>
        <v>0.97560116476908421</v>
      </c>
      <c r="D47" s="77">
        <f>IFERROR(1/SUM(1/D48,1/D49),0)</f>
        <v>88.549234622333401</v>
      </c>
      <c r="E47" s="78">
        <f>IFERROR(1/SUM(1/E48,1/E49),".")</f>
        <v>0.96496950457858399</v>
      </c>
      <c r="F47" s="76">
        <f>IFERROR(1/SUM(1/F48),0)</f>
        <v>3.609724309645615E-2</v>
      </c>
      <c r="G47" s="77">
        <f>IFERROR(1/SUM(1/G48,1/G49),0)</f>
        <v>3.2763216810263387</v>
      </c>
      <c r="H47" s="78">
        <f>IFERROR(1/SUM(1/H48,1/H49),".")</f>
        <v>3.5703871669407646E-2</v>
      </c>
      <c r="I47" s="73">
        <f>IFERROR(C47*Isospec!$C$11*Isospec!$F$11*SSLcm_m,".")</f>
        <v>1.1289753809559808E-11</v>
      </c>
      <c r="J47" s="74">
        <f>IFERROR(D47*Isospec!$C$11*Isospec!$F$11*SSLcm_m,".")</f>
        <v>1.0247005590114412E-9</v>
      </c>
      <c r="K47" s="75">
        <f>IFERROR(E47*Isospec!$C$11*Isospec!$F$11*SSLcm_m,".")</f>
        <v>1.1166723179347251E-11</v>
      </c>
      <c r="L47" s="68">
        <f t="shared" si="63"/>
        <v>214.22323001644568</v>
      </c>
    </row>
    <row r="48" spans="1:12">
      <c r="A48" s="31" t="s">
        <v>188</v>
      </c>
      <c r="B48" s="32">
        <v>1</v>
      </c>
      <c r="C48" s="70">
        <f>IFERROR(VLOOKUP("Cs-137",$A$4:$L$32,3)/$B48,0)</f>
        <v>0.97560116476908421</v>
      </c>
      <c r="D48" s="71">
        <f>IFERROR(VLOOKUP("Cs-137",$A$4:$L$32,4)/$B48,0)</f>
        <v>14649.057697138613</v>
      </c>
      <c r="E48" s="72">
        <f>IFERROR(IF(AND(C48&lt;&gt;0,D48&lt;&gt;0),(1/((1/C48)+(1/D48))),IF(AND(C48&lt;&gt;0,D48=0),(1/(1/C48)),IF(AND(C48=0,D48&lt;&gt;0),(1/(1/D48)),0))),0)</f>
        <v>0.97553619579506767</v>
      </c>
      <c r="F48" s="70">
        <f>IFERROR(VLOOKUP("Cs-137",$A$4:$L$32,6)/$B48,0)</f>
        <v>3.609724309645615E-2</v>
      </c>
      <c r="G48" s="71">
        <f>IFERROR(VLOOKUP("Cs-137",$A$4:$L$32,7)/$B48,0)</f>
        <v>542.01513479412927</v>
      </c>
      <c r="H48" s="72">
        <f>IFERROR(IF(AND(F48&lt;&gt;0,G48&lt;&gt;0),(1/((1/F48)+(1/G48))),IF(AND(F48&lt;&gt;0,G48=0),(1/(1/F48)),IF(AND(F48=0,G48&lt;&gt;0),(1/(1/G48)),0))),0)</f>
        <v>3.6094839244417538E-2</v>
      </c>
      <c r="I48" s="70">
        <f>IFERROR(VLOOKUP("Cs-137",$A$4:$L$32,9)/$B48,0)</f>
        <v>1.1289753809559808E-11</v>
      </c>
      <c r="J48" s="71">
        <f>IFERROR(VLOOKUP("Cs-137",$A$4:$L$32,10)/$B48,0)</f>
        <v>1.6952035413147236E-7</v>
      </c>
      <c r="K48" s="72">
        <f>IFERROR(VLOOKUP("Cs-137",$A$4:$L$32,11)/$B48,0)</f>
        <v>1.1289001982124177E-11</v>
      </c>
      <c r="L48" s="69">
        <f t="shared" si="63"/>
        <v>216.56903546650503</v>
      </c>
    </row>
    <row r="49" spans="1:12">
      <c r="A49" s="31" t="s">
        <v>189</v>
      </c>
      <c r="B49" s="32">
        <v>0.94399</v>
      </c>
      <c r="C49" s="70">
        <f>IFERROR(VLOOKUP("Ba-137m",$A$4:$L$32,3)/$B49,0)</f>
        <v>0</v>
      </c>
      <c r="D49" s="71">
        <f>IFERROR(VLOOKUP("Ba-137m",$A$4:$L$32,4)/$B49,0)</f>
        <v>89.087743766597569</v>
      </c>
      <c r="E49" s="72">
        <f>IFERROR(IF(AND(C49&lt;&gt;0,D49&lt;&gt;0),(1/((1/C49)+(1/D49))),IF(AND(C49&lt;&gt;0,D49=0),(1/(1/C49)),IF(AND(C49=0,D49&lt;&gt;0),(1/(1/D49)),0))),0)</f>
        <v>89.087743766597569</v>
      </c>
      <c r="F49" s="70">
        <f>IFERROR(VLOOKUP("Ba-137m",$A$4:$L$32,6)/$B49,0)</f>
        <v>0</v>
      </c>
      <c r="G49" s="71">
        <f>IFERROR(VLOOKUP("Ba-137m",$A$4:$L$32,7)/$B49,0)</f>
        <v>3.2962465193641135</v>
      </c>
      <c r="H49" s="72">
        <f>IFERROR(IF(AND(F49&lt;&gt;0,G49&lt;&gt;0),(1/((1/F49)+(1/G49))),IF(AND(F49&lt;&gt;0,G49=0),(1/(1/F49)),IF(AND(F49=0,G49&lt;&gt;0),(1/(1/G49)),0))),0)</f>
        <v>3.2962465193641135</v>
      </c>
      <c r="I49" s="70">
        <f>IFERROR(VLOOKUP("Ba-137m",$A$4:$L$32,9)/$B49,0)</f>
        <v>0</v>
      </c>
      <c r="J49" s="71">
        <f>IFERROR(VLOOKUP("Ba-137m",$A$4:$L$32,10)/$B49,0)</f>
        <v>1.6592883811763231E-16</v>
      </c>
      <c r="K49" s="72">
        <f>IFERROR(VLOOKUP("Ba-137m",$A$4:$L$32,11)/$B49,0)</f>
        <v>1.6592883811763231E-16</v>
      </c>
      <c r="L49" s="69">
        <f t="shared" si="63"/>
        <v>19777.479116184662</v>
      </c>
    </row>
    <row r="50" spans="1:12">
      <c r="A50" s="30" t="s">
        <v>27</v>
      </c>
      <c r="B50" s="30" t="s">
        <v>59</v>
      </c>
      <c r="C50" s="76">
        <f>IFERROR(1/SUM(1/C51,1/C56,1/C57,1/C60,1/C61,1/C62),0)</f>
        <v>4.02322487267966E-3</v>
      </c>
      <c r="D50" s="77">
        <f>IFERROR(1/SUM(1/D51,1/D52,1/D53,1/D56,1/D54,1/D57,1/D55,1/D58,1/D59,1/D60,1/D61,1/D63,1/D62,1/D64),0)</f>
        <v>28.475263725125387</v>
      </c>
      <c r="E50" s="78">
        <f>IFERROR(1/SUM(1/E51,1/E52,1/E53,1/E56,1/E54,1/E57,1/E55,1/E58,1/E59,1/E60,1/E61,1/E63,1/E62,1/E64),0)</f>
        <v>4.0226565179169666E-3</v>
      </c>
      <c r="F50" s="76">
        <f>IFERROR(1/SUM(1/F51,1/F56,1/F57,1/F60,1/F61,1/F62),0)</f>
        <v>1.4885932028914757E-4</v>
      </c>
      <c r="G50" s="77">
        <f>IFERROR(1/SUM(1/G51,1/G52,1/G53,1/G56,1/G54,1/G57,1/G55,1/G58,1/G59,1/G60,1/G61,1/G63,1/G62,1/G64),0)</f>
        <v>1.0535847578296407</v>
      </c>
      <c r="H50" s="78">
        <f>IFERROR(1/SUM(1/H51,1/H52,1/H53,1/H56,1/H54,1/H57,1/H55,1/H58,1/H59,1/H60,1/H61,1/H63,1/H62,1/H64),0)</f>
        <v>1.488382911629279E-4</v>
      </c>
      <c r="I50" s="73">
        <f>IFERROR(C50*Isospec!$C$24*Isospec!$F$24*SSLcm_m,".")</f>
        <v>4.0734347190907023E-12</v>
      </c>
      <c r="J50" s="74">
        <f>IFERROR(D50*Isospec!$C$24*Isospec!$F$24*SSLcm_m,".")</f>
        <v>2.8830635016414954E-8</v>
      </c>
      <c r="K50" s="75">
        <f>IFERROR(E50*Isospec!$C$24*Isospec!$F$24*SSLcm_m,".")</f>
        <v>4.0728592712605706E-12</v>
      </c>
      <c r="L50" s="68">
        <f t="shared" si="63"/>
        <v>0.89302974697756665</v>
      </c>
    </row>
    <row r="51" spans="1:12">
      <c r="A51" s="31" t="s">
        <v>190</v>
      </c>
      <c r="B51" s="32">
        <v>1</v>
      </c>
      <c r="C51" s="70">
        <f>IFERROR(VLOOKUP("Ra-226",$A$4:$L$32,3)/$B51,0)</f>
        <v>2.8643477906023881E-2</v>
      </c>
      <c r="D51" s="71">
        <f>IFERROR(VLOOKUP("Ra-226",$A$4:$L$32,4)/$B51,0)</f>
        <v>5126.2819012555665</v>
      </c>
      <c r="E51" s="72">
        <f t="shared" ref="E51:E64" si="67">IFERROR(IF(AND(C51&lt;&gt;0,D51&lt;&gt;0),(1/((1/C51)+(1/D51))),IF(AND(C51&lt;&gt;0,D51=0),(1/(1/C51)),IF(AND(C51=0,D51&lt;&gt;0),(1/(1/D51)),0))),0)</f>
        <v>2.8643317859374469E-2</v>
      </c>
      <c r="F51" s="70">
        <f>IFERROR(VLOOKUP("Ra-226",$A$4:$L$32,6)/$B51,0)</f>
        <v>1.0598086825228848E-3</v>
      </c>
      <c r="G51" s="71">
        <f>IFERROR(VLOOKUP("Ra-226",$A$4:$L$32,7)/$B51,0)</f>
        <v>189.67243034645614</v>
      </c>
      <c r="H51" s="72">
        <f t="shared" ref="H51:H64" si="68">IFERROR(IF(AND(F51&lt;&gt;0,G51&lt;&gt;0),(1/((1/F51)+(1/G51))),IF(AND(F51&lt;&gt;0,G51=0),(1/(1/F51)),IF(AND(F51=0,G51&lt;&gt;0),(1/(1/G51)),0))),0)</f>
        <v>1.0598027607968564E-3</v>
      </c>
      <c r="I51" s="70">
        <f>IFERROR(VLOOKUP("Ra-226",$A$4:$L$32,9)/$B51,0)</f>
        <v>2.9000948510291059E-11</v>
      </c>
      <c r="J51" s="71">
        <f>IFERROR(VLOOKUP("Ra-226",$A$4:$L$32,10)/$B51,0)</f>
        <v>5.1902578993832358E-6</v>
      </c>
      <c r="K51" s="72">
        <f>IFERROR(VLOOKUP("Ra-226",$A$4:$L$32,11)/$B51,0)</f>
        <v>2.9000786466259463E-11</v>
      </c>
      <c r="L51" s="69">
        <f t="shared" si="63"/>
        <v>6.3588165647811321</v>
      </c>
    </row>
    <row r="52" spans="1:12">
      <c r="A52" s="31" t="s">
        <v>191</v>
      </c>
      <c r="B52" s="32">
        <v>1</v>
      </c>
      <c r="C52" s="70">
        <f>IFERROR(VLOOKUP("Rn-222",$A$4:$L$32,3)/$B52,0)</f>
        <v>0</v>
      </c>
      <c r="D52" s="71">
        <f>IFERROR(VLOOKUP("Rn-222",$A$4:$L$32,4)/$B52,0)</f>
        <v>130442.23371091123</v>
      </c>
      <c r="E52" s="72">
        <f t="shared" si="67"/>
        <v>130442.23371091123</v>
      </c>
      <c r="F52" s="70">
        <f>IFERROR(VLOOKUP("Rn-222",$A$4:$L$32,6)/$B52,0)</f>
        <v>0</v>
      </c>
      <c r="G52" s="71">
        <f>IFERROR(VLOOKUP("Rn-222",$A$4:$L$32,7)/$B52,0)</f>
        <v>4826.3626473037202</v>
      </c>
      <c r="H52" s="72">
        <f t="shared" si="68"/>
        <v>4826.3626473037202</v>
      </c>
      <c r="I52" s="70">
        <f>IFERROR(VLOOKUP("Rn-222",$A$4:$L$32,9)/$B52,0)</f>
        <v>0</v>
      </c>
      <c r="J52" s="71">
        <f>IFERROR(VLOOKUP("Rn-222",$A$4:$L$32,10)/$B52,0)</f>
        <v>8.4937106678633471E-10</v>
      </c>
      <c r="K52" s="72">
        <f>IFERROR(VLOOKUP("Rn-222",$A$4:$L$32,11)/$B52,0)</f>
        <v>8.4937106678633471E-10</v>
      </c>
      <c r="L52" s="69">
        <f t="shared" si="63"/>
        <v>28958175.883822296</v>
      </c>
    </row>
    <row r="53" spans="1:12">
      <c r="A53" s="31" t="s">
        <v>192</v>
      </c>
      <c r="B53" s="32">
        <v>1</v>
      </c>
      <c r="C53" s="70">
        <f>IFERROR(VLOOKUP("Po-218",$A$4:$L$32,3)/$B53,0)</f>
        <v>0</v>
      </c>
      <c r="D53" s="71">
        <f>IFERROR(VLOOKUP("Po-218",$A$4:$L$32,4)/$B53,0)</f>
        <v>1808014359.1850209</v>
      </c>
      <c r="E53" s="72">
        <f t="shared" si="67"/>
        <v>1808014359.1850207</v>
      </c>
      <c r="F53" s="70">
        <f>IFERROR(VLOOKUP("Po-218",$A$4:$L$32,6)/$B53,0)</f>
        <v>0</v>
      </c>
      <c r="G53" s="71">
        <f>IFERROR(VLOOKUP("Po-218",$A$4:$L$32,7)/$B53,0)</f>
        <v>66896531.289845839</v>
      </c>
      <c r="H53" s="72">
        <f t="shared" si="68"/>
        <v>66896531.289845832</v>
      </c>
      <c r="I53" s="70">
        <f>IFERROR(VLOOKUP("Po-218",$A$4:$L$32,9)/$B53,0)</f>
        <v>0</v>
      </c>
      <c r="J53" s="71">
        <f>IFERROR(VLOOKUP("Po-218",$A$4:$L$32,10)/$B53,0)</f>
        <v>6.5091268855103811E-9</v>
      </c>
      <c r="K53" s="72">
        <f>IFERROR(VLOOKUP("Po-218",$A$4:$L$32,11)/$B53,0)</f>
        <v>6.5091268855103811E-9</v>
      </c>
      <c r="L53" s="69">
        <f t="shared" si="63"/>
        <v>401379187739.07458</v>
      </c>
    </row>
    <row r="54" spans="1:12">
      <c r="A54" s="31" t="s">
        <v>194</v>
      </c>
      <c r="B54" s="32">
        <v>2.0000000000000001E-4</v>
      </c>
      <c r="C54" s="70">
        <f>IFERROR(VLOOKUP("At-218",$A$4:$L$32,3)/$B54,0)</f>
        <v>0</v>
      </c>
      <c r="D54" s="71">
        <f>IFERROR(VLOOKUP("At-218",$A$4:$L$32,4)/$B54,0)</f>
        <v>480931819.54321563</v>
      </c>
      <c r="E54" s="72">
        <f>IFERROR(IF(AND(C54&lt;&gt;0,D54&lt;&gt;0),(1/((1/C54)+(1/D54))),IF(AND(C54&lt;&gt;0,D54=0),(1/(1/C54)),IF(AND(C54=0,D54&lt;&gt;0),(1/(1/D54)),0))),0)</f>
        <v>480931819.54321563</v>
      </c>
      <c r="F54" s="70">
        <f>IFERROR(VLOOKUP("At-218",$A$4:$L$32,6)/$B54,0)</f>
        <v>0</v>
      </c>
      <c r="G54" s="71">
        <f>IFERROR(VLOOKUP("At-218",$A$4:$L$32,7)/$B54,0)</f>
        <v>17794477.323098995</v>
      </c>
      <c r="H54" s="72">
        <f>IFERROR(IF(AND(F54&lt;&gt;0,G54&lt;&gt;0),(1/((1/F54)+(1/G54))),IF(AND(F54&lt;&gt;0,G54=0),(1/(1/F54)),IF(AND(F54=0,G54&lt;&gt;0),(1/(1/G54)),0))),0)</f>
        <v>17794477.323098995</v>
      </c>
      <c r="I54" s="70">
        <f>IFERROR(VLOOKUP("At-218",$A$4:$L$32,9)/$B54,0)</f>
        <v>0</v>
      </c>
      <c r="J54" s="71">
        <f>IFERROR(VLOOKUP("At-218",$A$4:$L$32,10)/$B54,0)</f>
        <v>1.396312702859492E-11</v>
      </c>
      <c r="K54" s="72">
        <f>IFERROR(VLOOKUP("At-218",$A$4:$L$32,11)/$B54,0)</f>
        <v>1.396312702859492E-11</v>
      </c>
      <c r="L54" s="69">
        <f>IF(E54&lt;&gt;".",E54*2.22*100,".")</f>
        <v>106766863938.59387</v>
      </c>
    </row>
    <row r="55" spans="1:12">
      <c r="A55" s="31" t="s">
        <v>196</v>
      </c>
      <c r="B55" s="32">
        <v>1.9999999999999999E-7</v>
      </c>
      <c r="C55" s="70">
        <f>IFERROR(VLOOKUP("Rn-218",$A$4:$L$32,3)/$B55,0)</f>
        <v>0</v>
      </c>
      <c r="D55" s="71">
        <f>IFERROR(VLOOKUP("Rn-218",$A$4:$L$32,4)/$B55,0)</f>
        <v>335114025831.89905</v>
      </c>
      <c r="E55" s="72">
        <f>IFERROR(IF(AND(C55&lt;&gt;0,D55&lt;&gt;0),(1/((1/C55)+(1/D55))),IF(AND(C55&lt;&gt;0,D55=0),(1/(1/C55)),IF(AND(C55=0,D55&lt;&gt;0),(1/(1/D55)),0))),0)</f>
        <v>335114025831.89905</v>
      </c>
      <c r="F55" s="70">
        <f>IFERROR(VLOOKUP("Rn-218",$A$4:$L$32,6)/$B55,0)</f>
        <v>0</v>
      </c>
      <c r="G55" s="71">
        <f>IFERROR(VLOOKUP("Rn-218",$A$4:$L$32,7)/$B55,0)</f>
        <v>12399218955.780277</v>
      </c>
      <c r="H55" s="72">
        <f>IFERROR(IF(AND(F55&lt;&gt;0,G55&lt;&gt;0),(1/((1/F55)+(1/G55))),IF(AND(F55&lt;&gt;0,G55=0),(1/(1/F55)),IF(AND(F55=0,G55&lt;&gt;0),(1/(1/G55)),0))),0)</f>
        <v>12399218955.780277</v>
      </c>
      <c r="I55" s="70">
        <f>IFERROR(VLOOKUP("Rn-218",$A$4:$L$32,9)/$B55,0)</f>
        <v>0</v>
      </c>
      <c r="J55" s="71">
        <f>IFERROR(VLOOKUP("Rn-218",$A$4:$L$32,10)/$B55,0)</f>
        <v>2.2702232521159774E-10</v>
      </c>
      <c r="K55" s="72">
        <f>IFERROR(VLOOKUP("Rn-218",$A$4:$L$32,11)/$B55,0)</f>
        <v>2.2702232521159774E-10</v>
      </c>
      <c r="L55" s="69">
        <f>IF(E55&lt;&gt;".",E55*2.22*100,".")</f>
        <v>74395313734681.594</v>
      </c>
    </row>
    <row r="56" spans="1:12">
      <c r="A56" s="31" t="s">
        <v>193</v>
      </c>
      <c r="B56" s="32">
        <v>0.99980000000000002</v>
      </c>
      <c r="C56" s="70">
        <f>IFERROR(VLOOKUP("Pb-214",$A$4:$L$32,3)/$B56,0)</f>
        <v>65.216538239450983</v>
      </c>
      <c r="D56" s="71">
        <f>IFERROR(VLOOKUP("Pb-214",$A$4:$L$32,4)/$B56,0)</f>
        <v>163.74864690503992</v>
      </c>
      <c r="E56" s="72">
        <f t="shared" si="67"/>
        <v>46.640802119334083</v>
      </c>
      <c r="F56" s="70">
        <f>IFERROR(VLOOKUP("Pb-214",$A$4:$L$32,6)/$B56,0)</f>
        <v>2.4130119148596885</v>
      </c>
      <c r="G56" s="71">
        <f>IFERROR(VLOOKUP("Pb-214",$A$4:$L$32,7)/$B56,0)</f>
        <v>6.0586999354864828</v>
      </c>
      <c r="H56" s="72">
        <f t="shared" si="68"/>
        <v>1.7257096784153625</v>
      </c>
      <c r="I56" s="70">
        <f>IFERROR(VLOOKUP("Pb-214",$A$4:$L$32,9)/$B56,0)</f>
        <v>1.9925488818693087E-15</v>
      </c>
      <c r="J56" s="71">
        <f>IFERROR(VLOOKUP("Pb-214",$A$4:$L$32,10)/$B56,0)</f>
        <v>5.0029822512240757E-15</v>
      </c>
      <c r="K56" s="72">
        <f>IFERROR(VLOOKUP("Pb-214",$A$4:$L$32,11)/$B56,0)</f>
        <v>1.4250078372934682E-15</v>
      </c>
      <c r="L56" s="69">
        <f t="shared" si="63"/>
        <v>10354.258070492167</v>
      </c>
    </row>
    <row r="57" spans="1:12">
      <c r="A57" s="31" t="s">
        <v>195</v>
      </c>
      <c r="B57" s="32">
        <v>0.99999979999999999</v>
      </c>
      <c r="C57" s="70">
        <f>IFERROR(VLOOKUP("Bi-214",$A$4:$L$32,3)/$B57,0)</f>
        <v>87.083879775358625</v>
      </c>
      <c r="D57" s="71">
        <f>IFERROR(VLOOKUP("Bi-214",$A$4:$L$32,4)/$B57,0)</f>
        <v>35.945283364057836</v>
      </c>
      <c r="E57" s="72">
        <f t="shared" si="67"/>
        <v>25.443192939706588</v>
      </c>
      <c r="F57" s="70">
        <f>IFERROR(VLOOKUP("Bi-214",$A$4:$L$32,6)/$B57,0)</f>
        <v>3.2221035516882726</v>
      </c>
      <c r="G57" s="71">
        <f>IFERROR(VLOOKUP("Bi-214",$A$4:$L$32,7)/$B57,0)</f>
        <v>1.3299754844701412</v>
      </c>
      <c r="H57" s="72">
        <f t="shared" si="68"/>
        <v>0.9413981387691448</v>
      </c>
      <c r="I57" s="70">
        <f>IFERROR(VLOOKUP("Bi-214",$A$4:$L$32,9)/$B57,0)</f>
        <v>1.9756376505931515E-15</v>
      </c>
      <c r="J57" s="71">
        <f>IFERROR(VLOOKUP("Bi-214",$A$4:$L$32,10)/$B57,0)</f>
        <v>8.1547647346974073E-16</v>
      </c>
      <c r="K57" s="72">
        <f>IFERROR(VLOOKUP("Bi-214",$A$4:$L$32,11)/$B57,0)</f>
        <v>5.7721968810596873E-16</v>
      </c>
      <c r="L57" s="69">
        <f t="shared" si="63"/>
        <v>5648.3888326148626</v>
      </c>
    </row>
    <row r="58" spans="1:12">
      <c r="A58" s="31" t="s">
        <v>197</v>
      </c>
      <c r="B58" s="32">
        <v>0.99979000004200003</v>
      </c>
      <c r="C58" s="70">
        <f>IFERROR(VLOOKUP("Po-214",$A$4:$L$32,3)/$B58,0)</f>
        <v>0</v>
      </c>
      <c r="D58" s="71">
        <f>IFERROR(VLOOKUP("Po-214",$A$4:$L$32,4)/$B58,0)</f>
        <v>636691.06895735417</v>
      </c>
      <c r="E58" s="72">
        <f t="shared" si="67"/>
        <v>636691.06895735417</v>
      </c>
      <c r="F58" s="70">
        <f>IFERROR(VLOOKUP("Po-214",$A$4:$L$32,6)/$B58,0)</f>
        <v>0</v>
      </c>
      <c r="G58" s="71">
        <f>IFERROR(VLOOKUP("Po-214",$A$4:$L$32,7)/$B58,0)</f>
        <v>23557.569551422126</v>
      </c>
      <c r="H58" s="72">
        <f t="shared" si="68"/>
        <v>23557.569551422126</v>
      </c>
      <c r="I58" s="70">
        <f>IFERROR(VLOOKUP("Po-214",$A$4:$L$32,9)/$B58,0)</f>
        <v>0</v>
      </c>
      <c r="J58" s="71">
        <f>IFERROR(VLOOKUP("Po-214",$A$4:$L$32,10)/$B58,0)</f>
        <v>1.9876115837047171E-18</v>
      </c>
      <c r="K58" s="72">
        <f>IFERROR(VLOOKUP("Po-214",$A$4:$L$32,11)/$B58,0)</f>
        <v>1.9876115837047171E-18</v>
      </c>
      <c r="L58" s="69">
        <f t="shared" si="63"/>
        <v>141345417.30853263</v>
      </c>
    </row>
    <row r="59" spans="1:12">
      <c r="A59" s="31" t="s">
        <v>198</v>
      </c>
      <c r="B59" s="32">
        <v>2.0999995799999999E-4</v>
      </c>
      <c r="C59" s="70">
        <f>IFERROR(VLOOKUP("Tl-210",$A$4:$L$32,3)/$B59,0)</f>
        <v>0</v>
      </c>
      <c r="D59" s="71">
        <f>IFERROR(VLOOKUP("Tl-210",$A$4:$L$32,4)/$B59,0)</f>
        <v>88719.730617178066</v>
      </c>
      <c r="E59" s="72">
        <f t="shared" si="67"/>
        <v>88719.730617178066</v>
      </c>
      <c r="F59" s="70">
        <f>IFERROR(VLOOKUP("Tl-210",$A$4:$L$32,6)/$B59,0)</f>
        <v>0</v>
      </c>
      <c r="G59" s="71">
        <f>IFERROR(VLOOKUP("Tl-210",$A$4:$L$32,7)/$B59,0)</f>
        <v>3282.6300328355919</v>
      </c>
      <c r="H59" s="72">
        <f t="shared" si="68"/>
        <v>3282.6300328355919</v>
      </c>
      <c r="I59" s="70">
        <f>IFERROR(VLOOKUP("Tl-210",$A$4:$L$32,9)/$B59,0)</f>
        <v>0</v>
      </c>
      <c r="J59" s="71">
        <f>IFERROR(VLOOKUP("Tl-210",$A$4:$L$32,10)/$B59,0)</f>
        <v>1.290284666738392E-13</v>
      </c>
      <c r="K59" s="72">
        <f>IFERROR(VLOOKUP("Tl-210",$A$4:$L$32,11)/$B59,0)</f>
        <v>1.290284666738392E-13</v>
      </c>
      <c r="L59" s="69">
        <f t="shared" si="63"/>
        <v>19695780.197013535</v>
      </c>
    </row>
    <row r="60" spans="1:12">
      <c r="A60" s="31" t="s">
        <v>199</v>
      </c>
      <c r="B60" s="32">
        <v>1</v>
      </c>
      <c r="C60" s="70">
        <f>IFERROR(VLOOKUP("Pb-210",$A$4:$L$32,3)/$B60,0)</f>
        <v>1.2721074011204724E-2</v>
      </c>
      <c r="D60" s="71">
        <f>IFERROR(VLOOKUP("Pb-210",$A$4:$L$32,4)/$B60,0)</f>
        <v>7216.5271327351347</v>
      </c>
      <c r="E60" s="72">
        <f t="shared" si="67"/>
        <v>1.2721051586922827E-2</v>
      </c>
      <c r="F60" s="70">
        <f>IFERROR(VLOOKUP("Pb-210",$A$4:$L$32,6)/$B60,0)</f>
        <v>4.7067973841457525E-4</v>
      </c>
      <c r="G60" s="71">
        <f>IFERROR(VLOOKUP("Pb-210",$A$4:$L$32,7)/$B60,0)</f>
        <v>267.01150391120024</v>
      </c>
      <c r="H60" s="72">
        <f t="shared" si="68"/>
        <v>4.7067890871614507E-4</v>
      </c>
      <c r="I60" s="70">
        <f>IFERROR(VLOOKUP("Pb-210",$A$4:$L$32,9)/$B60,0)</f>
        <v>1.6605581171266197E-13</v>
      </c>
      <c r="J60" s="71">
        <f>IFERROR(VLOOKUP("Pb-210",$A$4:$L$32,10)/$B60,0)</f>
        <v>9.4201658579871346E-8</v>
      </c>
      <c r="K60" s="72">
        <f>IFERROR(VLOOKUP("Pb-210",$A$4:$L$32,11)/$B60,0)</f>
        <v>1.6605551899505581E-13</v>
      </c>
      <c r="L60" s="69">
        <f t="shared" si="63"/>
        <v>2.8240734522968678</v>
      </c>
    </row>
    <row r="61" spans="1:12">
      <c r="A61" s="31" t="s">
        <v>200</v>
      </c>
      <c r="B61" s="32">
        <v>1</v>
      </c>
      <c r="C61" s="70">
        <f>IFERROR(VLOOKUP("Bi-210",$A$4:$L$32,3)/$B61,0)</f>
        <v>7.2086086063493449</v>
      </c>
      <c r="D61" s="71">
        <f>IFERROR(VLOOKUP("Bi-210",$A$4:$L$32,4)/$B61,0)</f>
        <v>1194.9210384198359</v>
      </c>
      <c r="E61" s="72">
        <f t="shared" si="67"/>
        <v>7.1653819559060405</v>
      </c>
      <c r="F61" s="70">
        <f>IFERROR(VLOOKUP("Bi-210",$A$4:$L$32,6)/$B61,0)</f>
        <v>0.26671851843492606</v>
      </c>
      <c r="G61" s="71">
        <f>IFERROR(VLOOKUP("Bi-210",$A$4:$L$32,7)/$B61,0)</f>
        <v>44.212078421533974</v>
      </c>
      <c r="H61" s="72">
        <f t="shared" si="68"/>
        <v>0.2651191323685238</v>
      </c>
      <c r="I61" s="70">
        <f>IFERROR(VLOOKUP("Bi-210",$A$4:$L$32,9)/$B61,0)</f>
        <v>5.8214827142063809E-14</v>
      </c>
      <c r="J61" s="71">
        <f>IFERROR(VLOOKUP("Bi-210",$A$4:$L$32,10)/$B61,0)</f>
        <v>9.6498680256763809E-12</v>
      </c>
      <c r="K61" s="72">
        <f>IFERROR(VLOOKUP("Bi-210",$A$4:$L$32,11)/$B61,0)</f>
        <v>5.7865740082284902E-14</v>
      </c>
      <c r="L61" s="69">
        <f t="shared" si="63"/>
        <v>1590.7147942111412</v>
      </c>
    </row>
    <row r="62" spans="1:12">
      <c r="A62" s="31" t="s">
        <v>202</v>
      </c>
      <c r="B62" s="32">
        <v>1</v>
      </c>
      <c r="C62" s="70">
        <f>IFERROR(VLOOKUP("Po-210",$A$4:$L$32,3)/$B62,0)</f>
        <v>7.4145688522450392E-3</v>
      </c>
      <c r="D62" s="71">
        <f>IFERROR(VLOOKUP("Po-210",$A$4:$L$32,4)/$B62,0)</f>
        <v>5433521.0993223041</v>
      </c>
      <c r="E62" s="72">
        <f>IFERROR(IF(AND(C62&lt;&gt;0,D62&lt;&gt;0),(1/((1/C62)+(1/D62))),IF(AND(C62&lt;&gt;0,D62=0),(1/(1/C62)),IF(AND(C62=0,D62&lt;&gt;0),(1/(1/D62)),0))),0)</f>
        <v>7.4145688421271378E-3</v>
      </c>
      <c r="F62" s="70">
        <f>IFERROR(VLOOKUP("Po-210",$A$4:$L$32,6)/$B62,0)</f>
        <v>2.7433904753306675E-4</v>
      </c>
      <c r="G62" s="71">
        <f>IFERROR(VLOOKUP("Po-210",$A$4:$L$32,7)/$B62,0)</f>
        <v>201040.28067492545</v>
      </c>
      <c r="H62" s="72">
        <f>IFERROR(IF(AND(F62&lt;&gt;0,G62&lt;&gt;0),(1/((1/F62)+(1/G62))),IF(AND(F62&lt;&gt;0,G62=0),(1/(1/F62)),IF(AND(F62=0,G62&lt;&gt;0),(1/(1/G62)),0))),0)</f>
        <v>2.7433904715870437E-4</v>
      </c>
      <c r="I62" s="70">
        <f>IFERROR(VLOOKUP("Po-210",$A$4:$L$32,9)/$B62,0)</f>
        <v>1.652841225054716E-15</v>
      </c>
      <c r="J62" s="71">
        <f>IFERROR(VLOOKUP("Po-210",$A$4:$L$32,10)/$B62,0)</f>
        <v>1.2112299243731842E-6</v>
      </c>
      <c r="K62" s="72">
        <f>IFERROR(VLOOKUP("Po-210",$A$4:$L$32,11)/$B62,0)</f>
        <v>1.6528412227992532E-15</v>
      </c>
      <c r="L62" s="69">
        <f>IF(E62&lt;&gt;".",E62*2.22*100,".")</f>
        <v>1.646034282952225</v>
      </c>
    </row>
    <row r="63" spans="1:12">
      <c r="A63" s="31" t="s">
        <v>201</v>
      </c>
      <c r="B63" s="34">
        <v>1.9000000000000001E-8</v>
      </c>
      <c r="C63" s="70">
        <f>IFERROR(VLOOKUP("Hg-206",$A$4:$L$32,3)/$B63,0)</f>
        <v>0</v>
      </c>
      <c r="D63" s="71">
        <f>IFERROR(VLOOKUP("Hg-206",$A$4:$L$32,4)/$B63,0)</f>
        <v>14930907171.331837</v>
      </c>
      <c r="E63" s="72">
        <f t="shared" si="67"/>
        <v>14930907171.331837</v>
      </c>
      <c r="F63" s="70">
        <f>IFERROR(VLOOKUP("Hg-206",$A$4:$L$32,6)/$B63,0)</f>
        <v>0</v>
      </c>
      <c r="G63" s="71">
        <f>IFERROR(VLOOKUP("Hg-206",$A$4:$L$32,7)/$B63,0)</f>
        <v>552443565.33927858</v>
      </c>
      <c r="H63" s="72">
        <f t="shared" si="68"/>
        <v>552443565.33927858</v>
      </c>
      <c r="I63" s="70">
        <f>IFERROR(VLOOKUP("Hg-206",$A$4:$L$32,9)/$B63,0)</f>
        <v>0</v>
      </c>
      <c r="J63" s="71">
        <f>IFERROR(VLOOKUP("Hg-206",$A$4:$L$32,10)/$B63,0)</f>
        <v>1.3354071563899884E-7</v>
      </c>
      <c r="K63" s="72">
        <f>IFERROR(VLOOKUP("Hg-206",$A$4:$L$32,11)/$B63,0)</f>
        <v>1.3354071563899884E-7</v>
      </c>
      <c r="L63" s="69">
        <f t="shared" si="63"/>
        <v>3314661392035.668</v>
      </c>
    </row>
    <row r="64" spans="1:12">
      <c r="A64" s="31" t="s">
        <v>203</v>
      </c>
      <c r="B64" s="32">
        <v>1.339E-6</v>
      </c>
      <c r="C64" s="70">
        <f>IFERROR(VLOOKUP("Tl-206",$A$4:$L$32,3)/$B64,0)</f>
        <v>0</v>
      </c>
      <c r="D64" s="71">
        <f>IFERROR(VLOOKUP("Tl-206",$A$4:$L$32,4)/$B64,0)</f>
        <v>331780577.55114555</v>
      </c>
      <c r="E64" s="72">
        <f t="shared" si="67"/>
        <v>331780577.55114555</v>
      </c>
      <c r="F64" s="70">
        <f>IFERROR(VLOOKUP("Tl-206",$A$4:$L$32,6)/$B64,0)</f>
        <v>0</v>
      </c>
      <c r="G64" s="71">
        <f>IFERROR(VLOOKUP("Tl-206",$A$4:$L$32,7)/$B64,0)</f>
        <v>12275881.369392399</v>
      </c>
      <c r="H64" s="72">
        <f t="shared" si="68"/>
        <v>12275881.369392399</v>
      </c>
      <c r="I64" s="70">
        <f>IFERROR(VLOOKUP("Tl-206",$A$4:$L$32,9)/$B64,0)</f>
        <v>0</v>
      </c>
      <c r="J64" s="71">
        <f>IFERROR(VLOOKUP("Tl-206",$A$4:$L$32,10)/$B64,0)</f>
        <v>1.5292206163476135E-9</v>
      </c>
      <c r="K64" s="72">
        <f>IFERROR(VLOOKUP("Tl-206",$A$4:$L$32,11)/$B64,0)</f>
        <v>1.5292206163476135E-9</v>
      </c>
      <c r="L64" s="69">
        <f t="shared" si="63"/>
        <v>73655288216.354324</v>
      </c>
    </row>
    <row r="65" spans="1:12">
      <c r="A65" s="30" t="s">
        <v>31</v>
      </c>
      <c r="B65" s="30" t="s">
        <v>59</v>
      </c>
      <c r="C65" s="76">
        <f>IFERROR(1/SUM(,1/C70,1/C71,1/C74,1/C75,1/C76),0)</f>
        <v>4.6806648410758593E-3</v>
      </c>
      <c r="D65" s="77">
        <f>IFERROR(1/SUM(1/D66,1/D67,1/D68,1/D69,1/D70,1/D71,1/D72,1/D73,1/D74,1/D75,1/D76,1/D77),0)</f>
        <v>28.634322963735812</v>
      </c>
      <c r="E65" s="77">
        <f>IFERROR(1/SUM(1/E66,1/E67,1/E68,1/E69,1/E70,1/E71,1/E72,1/E73,1/E74,1/E75,1/E76,1/E77),0)</f>
        <v>4.6798998485629009E-3</v>
      </c>
      <c r="F65" s="76">
        <f>IFERROR(1/SUM(,1/F70,1/F71,1/F74,1/F75,1/F76),0)</f>
        <v>1.7318459911980699E-4</v>
      </c>
      <c r="G65" s="77">
        <f>IFERROR(1/SUM(1/G66,1/G67,1/G68,1/G69,1/G70,1/G71,1/G72,1/G73,1/G74,1/G75,1/G76,1/G77),0)</f>
        <v>1.0594699496582263</v>
      </c>
      <c r="H65" s="77">
        <f>IFERROR(1/SUM(1/H66,1/H67,1/H68,1/H69,1/H70,1/H71,1/H72,1/H73,1/H74,1/H75,1/H76,1/H77),0)</f>
        <v>1.7315629439682749E-4</v>
      </c>
      <c r="I65" s="73">
        <f>IFERROR(C65*Isospec!$C$26*Isospec!$F$26*SSLcm_m,".")</f>
        <v>3.0478022157645248E-17</v>
      </c>
      <c r="J65" s="74">
        <f>IFERROR(D65*Isospec!$C$26*Isospec!$F$26*SSLcm_m,".")</f>
        <v>1.8645161732137916E-13</v>
      </c>
      <c r="K65" s="75">
        <f>IFERROR(E65*Isospec!$C$26*Isospec!$F$26*SSLcm_m,".")</f>
        <v>3.047304092964623E-17</v>
      </c>
      <c r="L65" s="68">
        <f t="shared" si="63"/>
        <v>1.038937766380964</v>
      </c>
    </row>
    <row r="66" spans="1:12">
      <c r="A66" s="31" t="s">
        <v>191</v>
      </c>
      <c r="B66" s="32">
        <v>1</v>
      </c>
      <c r="C66" s="70">
        <f>IFERROR(VLOOKUP("Rn-222",$A$4:$L$32,3)/$B66,0)</f>
        <v>0</v>
      </c>
      <c r="D66" s="71">
        <f>IFERROR(VLOOKUP("Rn-222",$A$4:$L$32,4)/$B66,0)</f>
        <v>130442.23371091123</v>
      </c>
      <c r="E66" s="72">
        <f t="shared" ref="E66:E67" si="69">IFERROR(IF(AND(C66&lt;&gt;0,D66&lt;&gt;0),(1/((1/C66)+(1/D66))),IF(AND(C66&lt;&gt;0,D66=0),(1/(1/C66)),IF(AND(C66=0,D66&lt;&gt;0),(1/(1/D66)),0))),0)</f>
        <v>130442.23371091123</v>
      </c>
      <c r="F66" s="70">
        <f>IFERROR(VLOOKUP("Rn-222",$A$4:$L$32,6)/$B66,0)</f>
        <v>0</v>
      </c>
      <c r="G66" s="71">
        <f>IFERROR(VLOOKUP("Rn-222",$A$4:$L$32,7)/$B66,0)</f>
        <v>4826.3626473037202</v>
      </c>
      <c r="H66" s="72">
        <f t="shared" ref="H66:H67" si="70">IFERROR(IF(AND(F66&lt;&gt;0,G66&lt;&gt;0),(1/((1/F66)+(1/G66))),IF(AND(F66&lt;&gt;0,G66=0),(1/(1/F66)),IF(AND(F66=0,G66&lt;&gt;0),(1/(1/G66)),0))),0)</f>
        <v>4826.3626473037202</v>
      </c>
      <c r="I66" s="70">
        <f>IFERROR(VLOOKUP("Rn-222",$A$4:$L$32,9)/$B66,0)</f>
        <v>0</v>
      </c>
      <c r="J66" s="71">
        <f>IFERROR(VLOOKUP("Rn-222",$A$4:$L$32,10)/$B66,0)</f>
        <v>8.4937106678633471E-10</v>
      </c>
      <c r="K66" s="72">
        <f>IFERROR(VLOOKUP("Rn-222",$A$4:$L$32,11)/$B66,0)</f>
        <v>8.4937106678633471E-10</v>
      </c>
      <c r="L66" s="69">
        <f t="shared" si="63"/>
        <v>28958175.883822296</v>
      </c>
    </row>
    <row r="67" spans="1:12">
      <c r="A67" s="31" t="s">
        <v>192</v>
      </c>
      <c r="B67" s="32">
        <v>1</v>
      </c>
      <c r="C67" s="70">
        <f>IFERROR(VLOOKUP("Po-218",$A$4:$L$32,3)/$B67,0)</f>
        <v>0</v>
      </c>
      <c r="D67" s="71">
        <f>IFERROR(VLOOKUP("Po-218",$A$4:$L$32,4)/$B67,0)</f>
        <v>1808014359.1850209</v>
      </c>
      <c r="E67" s="72">
        <f t="shared" si="69"/>
        <v>1808014359.1850207</v>
      </c>
      <c r="F67" s="70">
        <f>IFERROR(VLOOKUP("Po-218",$A$4:$L$32,6)/$B67,0)</f>
        <v>0</v>
      </c>
      <c r="G67" s="71">
        <f>IFERROR(VLOOKUP("Po-218",$A$4:$L$32,7)/$B67,0)</f>
        <v>66896531.289845839</v>
      </c>
      <c r="H67" s="72">
        <f t="shared" si="70"/>
        <v>66896531.289845832</v>
      </c>
      <c r="I67" s="70">
        <f>IFERROR(VLOOKUP("Po-218",$A$4:$L$32,9)/$B67,0)</f>
        <v>0</v>
      </c>
      <c r="J67" s="71">
        <f>IFERROR(VLOOKUP("Po-218",$A$4:$L$32,10)/$B67,0)</f>
        <v>6.5091268855103811E-9</v>
      </c>
      <c r="K67" s="72">
        <f>IFERROR(VLOOKUP("Po-218",$A$4:$L$32,11)/$B67,0)</f>
        <v>6.5091268855103811E-9</v>
      </c>
      <c r="L67" s="69">
        <f t="shared" si="63"/>
        <v>401379187739.07458</v>
      </c>
    </row>
    <row r="68" spans="1:12">
      <c r="A68" s="31" t="s">
        <v>194</v>
      </c>
      <c r="B68" s="32">
        <v>2.0000000000000001E-4</v>
      </c>
      <c r="C68" s="70">
        <f>IFERROR(VLOOKUP("At-218",$A$4:$L$32,3)/$B68,0)</f>
        <v>0</v>
      </c>
      <c r="D68" s="71">
        <f>IFERROR(VLOOKUP("At-218",$A$4:$L$32,4)/$B68,0)</f>
        <v>480931819.54321563</v>
      </c>
      <c r="E68" s="72">
        <f>IFERROR(IF(AND(C68&lt;&gt;0,D68&lt;&gt;0),(1/((1/C68)+(1/D68))),IF(AND(C68&lt;&gt;0,D68=0),(1/(1/C68)),IF(AND(C68=0,D68&lt;&gt;0),(1/(1/D68)),0))),0)</f>
        <v>480931819.54321563</v>
      </c>
      <c r="F68" s="70">
        <f>IFERROR(VLOOKUP("At-218",$A$4:$L$32,6)/$B68,0)</f>
        <v>0</v>
      </c>
      <c r="G68" s="71">
        <f>IFERROR(VLOOKUP("At-218",$A$4:$L$32,7)/$B68,0)</f>
        <v>17794477.323098995</v>
      </c>
      <c r="H68" s="72">
        <f>IFERROR(IF(AND(F68&lt;&gt;0,G68&lt;&gt;0),(1/((1/F68)+(1/G68))),IF(AND(F68&lt;&gt;0,G68=0),(1/(1/F68)),IF(AND(F68=0,G68&lt;&gt;0),(1/(1/G68)),0))),0)</f>
        <v>17794477.323098995</v>
      </c>
      <c r="I68" s="70">
        <f>IFERROR(VLOOKUP("At-218",$A$4:$L$32,9)/$B68,0)</f>
        <v>0</v>
      </c>
      <c r="J68" s="71">
        <f>IFERROR(VLOOKUP("At-218",$A$4:$L$32,10)/$B68,0)</f>
        <v>1.396312702859492E-11</v>
      </c>
      <c r="K68" s="72">
        <f>IFERROR(VLOOKUP("At-218",$A$4:$L$32,11)/$B68,0)</f>
        <v>1.396312702859492E-11</v>
      </c>
      <c r="L68" s="69">
        <f>IF(E68&lt;&gt;".",E68*2.22*100,".")</f>
        <v>106766863938.59387</v>
      </c>
    </row>
    <row r="69" spans="1:12">
      <c r="A69" s="31" t="s">
        <v>196</v>
      </c>
      <c r="B69" s="32">
        <v>1.9999999999999999E-7</v>
      </c>
      <c r="C69" s="70">
        <f>IFERROR(VLOOKUP("Rn-218",$A$4:$L$32,3)/$B69,0)</f>
        <v>0</v>
      </c>
      <c r="D69" s="71">
        <f>IFERROR(VLOOKUP("Rn-218",$A$4:$L$32,4)/$B69,0)</f>
        <v>335114025831.89905</v>
      </c>
      <c r="E69" s="72">
        <f>IFERROR(IF(AND(C69&lt;&gt;0,D69&lt;&gt;0),(1/((1/C69)+(1/D69))),IF(AND(C69&lt;&gt;0,D69=0),(1/(1/C69)),IF(AND(C69=0,D69&lt;&gt;0),(1/(1/D69)),0))),0)</f>
        <v>335114025831.89905</v>
      </c>
      <c r="F69" s="70">
        <f>IFERROR(VLOOKUP("Rn-218",$A$4:$L$32,6)/$B69,0)</f>
        <v>0</v>
      </c>
      <c r="G69" s="71">
        <f>IFERROR(VLOOKUP("Rn-218",$A$4:$L$32,7)/$B69,0)</f>
        <v>12399218955.780277</v>
      </c>
      <c r="H69" s="72">
        <f>IFERROR(IF(AND(F69&lt;&gt;0,G69&lt;&gt;0),(1/((1/F69)+(1/G69))),IF(AND(F69&lt;&gt;0,G69=0),(1/(1/F69)),IF(AND(F69=0,G69&lt;&gt;0),(1/(1/G69)),0))),0)</f>
        <v>12399218955.780277</v>
      </c>
      <c r="I69" s="70">
        <f>IFERROR(VLOOKUP("Rn-218",$A$4:$L$32,9)/$B69,0)</f>
        <v>0</v>
      </c>
      <c r="J69" s="71">
        <f>IFERROR(VLOOKUP("Rn-218",$A$4:$L$32,10)/$B69,0)</f>
        <v>2.2702232521159774E-10</v>
      </c>
      <c r="K69" s="72">
        <f>IFERROR(VLOOKUP("Rn-218",$A$4:$L$32,11)/$B69,0)</f>
        <v>2.2702232521159774E-10</v>
      </c>
      <c r="L69" s="69">
        <f>IF(E69&lt;&gt;".",E69*2.22*100,".")</f>
        <v>74395313734681.594</v>
      </c>
    </row>
    <row r="70" spans="1:12">
      <c r="A70" s="31" t="s">
        <v>193</v>
      </c>
      <c r="B70" s="32">
        <v>0.99980000000000002</v>
      </c>
      <c r="C70" s="70">
        <f>IFERROR(VLOOKUP("Pb-214",$A$4:$L$32,3)/$B70,0)</f>
        <v>65.216538239450983</v>
      </c>
      <c r="D70" s="71">
        <f>IFERROR(VLOOKUP("Pb-214",$A$4:$L$32,4)/$B70,0)</f>
        <v>163.74864690503992</v>
      </c>
      <c r="E70" s="72">
        <f t="shared" ref="E70:E75" si="71">IFERROR(IF(AND(C70&lt;&gt;0,D70&lt;&gt;0),(1/((1/C70)+(1/D70))),IF(AND(C70&lt;&gt;0,D70=0),(1/(1/C70)),IF(AND(C70=0,D70&lt;&gt;0),(1/(1/D70)),0))),0)</f>
        <v>46.640802119334083</v>
      </c>
      <c r="F70" s="70">
        <f>IFERROR(VLOOKUP("Pb-214",$A$4:$L$32,6)/$B70,0)</f>
        <v>2.4130119148596885</v>
      </c>
      <c r="G70" s="71">
        <f>IFERROR(VLOOKUP("Pb-214",$A$4:$L$32,7)/$B70,0)</f>
        <v>6.0586999354864828</v>
      </c>
      <c r="H70" s="72">
        <f t="shared" ref="H70:H75" si="72">IFERROR(IF(AND(F70&lt;&gt;0,G70&lt;&gt;0),(1/((1/F70)+(1/G70))),IF(AND(F70&lt;&gt;0,G70=0),(1/(1/F70)),IF(AND(F70=0,G70&lt;&gt;0),(1/(1/G70)),0))),0)</f>
        <v>1.7257096784153625</v>
      </c>
      <c r="I70" s="70">
        <f>IFERROR(VLOOKUP("Pb-214",$A$4:$L$32,9)/$B70,0)</f>
        <v>1.9925488818693087E-15</v>
      </c>
      <c r="J70" s="71">
        <f>IFERROR(VLOOKUP("Pb-214",$A$4:$L$32,10)/$B70,0)</f>
        <v>5.0029822512240757E-15</v>
      </c>
      <c r="K70" s="72">
        <f>IFERROR(VLOOKUP("Pb-214",$A$4:$L$32,11)/$B70,0)</f>
        <v>1.4250078372934682E-15</v>
      </c>
      <c r="L70" s="69">
        <f t="shared" ref="L70:L75" si="73">IF(E70&lt;&gt;".",E70*2.22*100,".")</f>
        <v>10354.258070492167</v>
      </c>
    </row>
    <row r="71" spans="1:12">
      <c r="A71" s="31" t="s">
        <v>195</v>
      </c>
      <c r="B71" s="32">
        <v>0.99999979999999999</v>
      </c>
      <c r="C71" s="70">
        <f>IFERROR(VLOOKUP("Bi-214",$A$4:$L$32,3)/$B71,0)</f>
        <v>87.083879775358625</v>
      </c>
      <c r="D71" s="71">
        <f>IFERROR(VLOOKUP("Bi-214",$A$4:$L$32,4)/$B71,0)</f>
        <v>35.945283364057836</v>
      </c>
      <c r="E71" s="72">
        <f t="shared" si="71"/>
        <v>25.443192939706588</v>
      </c>
      <c r="F71" s="70">
        <f>IFERROR(VLOOKUP("Bi-214",$A$4:$L$32,6)/$B71,0)</f>
        <v>3.2221035516882726</v>
      </c>
      <c r="G71" s="71">
        <f>IFERROR(VLOOKUP("Bi-214",$A$4:$L$32,7)/$B71,0)</f>
        <v>1.3299754844701412</v>
      </c>
      <c r="H71" s="72">
        <f t="shared" si="72"/>
        <v>0.9413981387691448</v>
      </c>
      <c r="I71" s="70">
        <f>IFERROR(VLOOKUP("Bi-214",$A$4:$L$32,9)/$B71,0)</f>
        <v>1.9756376505931515E-15</v>
      </c>
      <c r="J71" s="71">
        <f>IFERROR(VLOOKUP("Bi-214",$A$4:$L$32,10)/$B71,0)</f>
        <v>8.1547647346974073E-16</v>
      </c>
      <c r="K71" s="72">
        <f>IFERROR(VLOOKUP("Bi-214",$A$4:$L$32,11)/$B71,0)</f>
        <v>5.7721968810596873E-16</v>
      </c>
      <c r="L71" s="69">
        <f t="shared" si="73"/>
        <v>5648.3888326148626</v>
      </c>
    </row>
    <row r="72" spans="1:12">
      <c r="A72" s="31" t="s">
        <v>197</v>
      </c>
      <c r="B72" s="32">
        <v>0.99979000004200003</v>
      </c>
      <c r="C72" s="70">
        <f>IFERROR(VLOOKUP("Po-214",$A$4:$L$32,3)/$B72,0)</f>
        <v>0</v>
      </c>
      <c r="D72" s="71">
        <f>IFERROR(VLOOKUP("Po-214",$A$4:$L$32,4)/$B72,0)</f>
        <v>636691.06895735417</v>
      </c>
      <c r="E72" s="72">
        <f t="shared" si="71"/>
        <v>636691.06895735417</v>
      </c>
      <c r="F72" s="70">
        <f>IFERROR(VLOOKUP("Po-214",$A$4:$L$32,6)/$B72,0)</f>
        <v>0</v>
      </c>
      <c r="G72" s="71">
        <f>IFERROR(VLOOKUP("Po-214",$A$4:$L$32,7)/$B72,0)</f>
        <v>23557.569551422126</v>
      </c>
      <c r="H72" s="72">
        <f t="shared" si="72"/>
        <v>23557.569551422126</v>
      </c>
      <c r="I72" s="70">
        <f>IFERROR(VLOOKUP("Po-214",$A$4:$L$32,9)/$B72,0)</f>
        <v>0</v>
      </c>
      <c r="J72" s="71">
        <f>IFERROR(VLOOKUP("Po-214",$A$4:$L$32,10)/$B72,0)</f>
        <v>1.9876115837047171E-18</v>
      </c>
      <c r="K72" s="72">
        <f>IFERROR(VLOOKUP("Po-214",$A$4:$L$32,11)/$B72,0)</f>
        <v>1.9876115837047171E-18</v>
      </c>
      <c r="L72" s="69">
        <f t="shared" si="73"/>
        <v>141345417.30853263</v>
      </c>
    </row>
    <row r="73" spans="1:12">
      <c r="A73" s="31" t="s">
        <v>198</v>
      </c>
      <c r="B73" s="32">
        <v>2.0999995799999999E-4</v>
      </c>
      <c r="C73" s="70">
        <f>IFERROR(VLOOKUP("Tl-210",$A$4:$L$32,3)/$B73,0)</f>
        <v>0</v>
      </c>
      <c r="D73" s="71">
        <f>IFERROR(VLOOKUP("Tl-210",$A$4:$L$32,4)/$B73,0)</f>
        <v>88719.730617178066</v>
      </c>
      <c r="E73" s="72">
        <f t="shared" si="71"/>
        <v>88719.730617178066</v>
      </c>
      <c r="F73" s="70">
        <f>IFERROR(VLOOKUP("Tl-210",$A$4:$L$32,6)/$B73,0)</f>
        <v>0</v>
      </c>
      <c r="G73" s="71">
        <f>IFERROR(VLOOKUP("Tl-210",$A$4:$L$32,7)/$B73,0)</f>
        <v>3282.6300328355919</v>
      </c>
      <c r="H73" s="72">
        <f t="shared" si="72"/>
        <v>3282.6300328355919</v>
      </c>
      <c r="I73" s="70">
        <f>IFERROR(VLOOKUP("Tl-210",$A$4:$L$32,9)/$B73,0)</f>
        <v>0</v>
      </c>
      <c r="J73" s="71">
        <f>IFERROR(VLOOKUP("Tl-210",$A$4:$L$32,10)/$B73,0)</f>
        <v>1.290284666738392E-13</v>
      </c>
      <c r="K73" s="72">
        <f>IFERROR(VLOOKUP("Tl-210",$A$4:$L$32,11)/$B73,0)</f>
        <v>1.290284666738392E-13</v>
      </c>
      <c r="L73" s="69">
        <f t="shared" si="73"/>
        <v>19695780.197013535</v>
      </c>
    </row>
    <row r="74" spans="1:12">
      <c r="A74" s="31" t="s">
        <v>199</v>
      </c>
      <c r="B74" s="32">
        <v>1</v>
      </c>
      <c r="C74" s="70">
        <f>IFERROR(VLOOKUP("Pb-210",$A$4:$L$32,3)/$B74,0)</f>
        <v>1.2721074011204724E-2</v>
      </c>
      <c r="D74" s="71">
        <f>IFERROR(VLOOKUP("Pb-210",$A$4:$L$32,4)/$B74,0)</f>
        <v>7216.5271327351347</v>
      </c>
      <c r="E74" s="72">
        <f t="shared" si="71"/>
        <v>1.2721051586922827E-2</v>
      </c>
      <c r="F74" s="70">
        <f>IFERROR(VLOOKUP("Pb-210",$A$4:$L$32,6)/$B74,0)</f>
        <v>4.7067973841457525E-4</v>
      </c>
      <c r="G74" s="71">
        <f>IFERROR(VLOOKUP("Pb-210",$A$4:$L$32,7)/$B74,0)</f>
        <v>267.01150391120024</v>
      </c>
      <c r="H74" s="72">
        <f t="shared" si="72"/>
        <v>4.7067890871614507E-4</v>
      </c>
      <c r="I74" s="70">
        <f>IFERROR(VLOOKUP("Pb-210",$A$4:$L$32,9)/$B74,0)</f>
        <v>1.6605581171266197E-13</v>
      </c>
      <c r="J74" s="71">
        <f>IFERROR(VLOOKUP("Pb-210",$A$4:$L$32,10)/$B74,0)</f>
        <v>9.4201658579871346E-8</v>
      </c>
      <c r="K74" s="72">
        <f>IFERROR(VLOOKUP("Pb-210",$A$4:$L$32,11)/$B74,0)</f>
        <v>1.6605551899505581E-13</v>
      </c>
      <c r="L74" s="69">
        <f t="shared" si="73"/>
        <v>2.8240734522968678</v>
      </c>
    </row>
    <row r="75" spans="1:12">
      <c r="A75" s="31" t="s">
        <v>200</v>
      </c>
      <c r="B75" s="32">
        <v>1</v>
      </c>
      <c r="C75" s="70">
        <f>IFERROR(VLOOKUP("Bi-210",$A$4:$L$32,3)/$B75,0)</f>
        <v>7.2086086063493449</v>
      </c>
      <c r="D75" s="71">
        <f>IFERROR(VLOOKUP("Bi-210",$A$4:$L$32,4)/$B75,0)</f>
        <v>1194.9210384198359</v>
      </c>
      <c r="E75" s="72">
        <f t="shared" si="71"/>
        <v>7.1653819559060405</v>
      </c>
      <c r="F75" s="70">
        <f>IFERROR(VLOOKUP("Bi-210",$A$4:$L$32,6)/$B75,0)</f>
        <v>0.26671851843492606</v>
      </c>
      <c r="G75" s="71">
        <f>IFERROR(VLOOKUP("Bi-210",$A$4:$L$32,7)/$B75,0)</f>
        <v>44.212078421533974</v>
      </c>
      <c r="H75" s="72">
        <f t="shared" si="72"/>
        <v>0.2651191323685238</v>
      </c>
      <c r="I75" s="70">
        <f>IFERROR(VLOOKUP("Bi-210",$A$4:$L$32,9)/$B75,0)</f>
        <v>5.8214827142063809E-14</v>
      </c>
      <c r="J75" s="71">
        <f>IFERROR(VLOOKUP("Bi-210",$A$4:$L$32,10)/$B75,0)</f>
        <v>9.6498680256763809E-12</v>
      </c>
      <c r="K75" s="72">
        <f>IFERROR(VLOOKUP("Bi-210",$A$4:$L$32,11)/$B75,0)</f>
        <v>5.7865740082284902E-14</v>
      </c>
      <c r="L75" s="69">
        <f t="shared" si="73"/>
        <v>1590.7147942111412</v>
      </c>
    </row>
    <row r="76" spans="1:12">
      <c r="A76" s="31" t="s">
        <v>202</v>
      </c>
      <c r="B76" s="32">
        <v>1</v>
      </c>
      <c r="C76" s="70">
        <f>IFERROR(VLOOKUP("Po-210",$A$4:$L$32,3)/$B76,0)</f>
        <v>7.4145688522450392E-3</v>
      </c>
      <c r="D76" s="71">
        <f>IFERROR(VLOOKUP("Po-210",$A$4:$L$32,4)/$B76,0)</f>
        <v>5433521.0993223041</v>
      </c>
      <c r="E76" s="72">
        <f>IFERROR(IF(AND(C76&lt;&gt;0,D76&lt;&gt;0),(1/((1/C76)+(1/D76))),IF(AND(C76&lt;&gt;0,D76=0),(1/(1/C76)),IF(AND(C76=0,D76&lt;&gt;0),(1/(1/D76)),0))),0)</f>
        <v>7.4145688421271378E-3</v>
      </c>
      <c r="F76" s="70">
        <f>IFERROR(VLOOKUP("Po-210",$A$4:$L$32,6)/$B76,0)</f>
        <v>2.7433904753306675E-4</v>
      </c>
      <c r="G76" s="71">
        <f>IFERROR(VLOOKUP("Po-210",$A$4:$L$32,7)/$B76,0)</f>
        <v>201040.28067492545</v>
      </c>
      <c r="H76" s="72">
        <f>IFERROR(IF(AND(F76&lt;&gt;0,G76&lt;&gt;0),(1/((1/F76)+(1/G76))),IF(AND(F76&lt;&gt;0,G76=0),(1/(1/F76)),IF(AND(F76=0,G76&lt;&gt;0),(1/(1/G76)),0))),0)</f>
        <v>2.7433904715870437E-4</v>
      </c>
      <c r="I76" s="70">
        <f>IFERROR(VLOOKUP("Po-210",$A$4:$L$32,9)/$B76,0)</f>
        <v>1.652841225054716E-15</v>
      </c>
      <c r="J76" s="71">
        <f>IFERROR(VLOOKUP("Po-210",$A$4:$L$32,10)/$B76,0)</f>
        <v>1.2112299243731842E-6</v>
      </c>
      <c r="K76" s="72">
        <f>IFERROR(VLOOKUP("Po-210",$A$4:$L$32,11)/$B76,0)</f>
        <v>1.6528412227992532E-15</v>
      </c>
      <c r="L76" s="69">
        <f>IF(E76&lt;&gt;".",E76*2.22*100,".")</f>
        <v>1.646034282952225</v>
      </c>
    </row>
    <row r="77" spans="1:12">
      <c r="A77" s="31" t="s">
        <v>201</v>
      </c>
      <c r="B77" s="34">
        <v>1.9000000000000001E-8</v>
      </c>
      <c r="C77" s="70">
        <f>IFERROR(VLOOKUP("Hg-206",$A$4:$L$32,3)/$B77,0)</f>
        <v>0</v>
      </c>
      <c r="D77" s="71">
        <f>IFERROR(VLOOKUP("Hg-206",$A$4:$L$32,4)/$B77,0)</f>
        <v>14930907171.331837</v>
      </c>
      <c r="E77" s="72">
        <f t="shared" ref="E77:E78" si="74">IFERROR(IF(AND(C77&lt;&gt;0,D77&lt;&gt;0),(1/((1/C77)+(1/D77))),IF(AND(C77&lt;&gt;0,D77=0),(1/(1/C77)),IF(AND(C77=0,D77&lt;&gt;0),(1/(1/D77)),0))),0)</f>
        <v>14930907171.331837</v>
      </c>
      <c r="F77" s="70">
        <f>IFERROR(VLOOKUP("Hg-206",$A$4:$L$32,6)/$B77,0)</f>
        <v>0</v>
      </c>
      <c r="G77" s="71">
        <f>IFERROR(VLOOKUP("Hg-206",$A$4:$L$32,7)/$B77,0)</f>
        <v>552443565.33927858</v>
      </c>
      <c r="H77" s="72">
        <f t="shared" ref="H77:H78" si="75">IFERROR(IF(AND(F77&lt;&gt;0,G77&lt;&gt;0),(1/((1/F77)+(1/G77))),IF(AND(F77&lt;&gt;0,G77=0),(1/(1/F77)),IF(AND(F77=0,G77&lt;&gt;0),(1/(1/G77)),0))),0)</f>
        <v>552443565.33927858</v>
      </c>
      <c r="I77" s="70">
        <f>IFERROR(VLOOKUP("Hg-206",$A$4:$L$32,9)/$B77,0)</f>
        <v>0</v>
      </c>
      <c r="J77" s="71">
        <f>IFERROR(VLOOKUP("Hg-206",$A$4:$L$32,10)/$B77,0)</f>
        <v>1.3354071563899884E-7</v>
      </c>
      <c r="K77" s="72">
        <f>IFERROR(VLOOKUP("Hg-206",$A$4:$L$32,11)/$B77,0)</f>
        <v>1.3354071563899884E-7</v>
      </c>
      <c r="L77" s="69">
        <f t="shared" ref="L77:L78" si="76">IF(E77&lt;&gt;".",E77*2.22*100,".")</f>
        <v>3314661392035.668</v>
      </c>
    </row>
    <row r="78" spans="1:12">
      <c r="A78" s="31" t="s">
        <v>203</v>
      </c>
      <c r="B78" s="32">
        <v>1.339E-6</v>
      </c>
      <c r="C78" s="70">
        <f>IFERROR(VLOOKUP("Tl-206",$A$4:$L$32,3)/$B78,0)</f>
        <v>0</v>
      </c>
      <c r="D78" s="71">
        <f>IFERROR(VLOOKUP("Tl-206",$A$4:$L$32,4)/$B78,0)</f>
        <v>331780577.55114555</v>
      </c>
      <c r="E78" s="72">
        <f t="shared" si="74"/>
        <v>331780577.55114555</v>
      </c>
      <c r="F78" s="70">
        <f>IFERROR(VLOOKUP("Tl-206",$A$4:$L$32,6)/$B78,0)</f>
        <v>0</v>
      </c>
      <c r="G78" s="71">
        <f>IFERROR(VLOOKUP("Tl-206",$A$4:$L$32,7)/$B78,0)</f>
        <v>12275881.369392399</v>
      </c>
      <c r="H78" s="72">
        <f t="shared" si="75"/>
        <v>12275881.369392399</v>
      </c>
      <c r="I78" s="70">
        <f>IFERROR(VLOOKUP("Tl-206",$A$4:$L$32,9)/$B78,0)</f>
        <v>0</v>
      </c>
      <c r="J78" s="71">
        <f>IFERROR(VLOOKUP("Tl-206",$A$4:$L$32,10)/$B78,0)</f>
        <v>1.5292206163476135E-9</v>
      </c>
      <c r="K78" s="72">
        <f>IFERROR(VLOOKUP("Tl-206",$A$4:$L$32,11)/$B78,0)</f>
        <v>1.5292206163476135E-9</v>
      </c>
      <c r="L78" s="69">
        <f t="shared" si="76"/>
        <v>73655288216.354324</v>
      </c>
    </row>
  </sheetData>
  <sheetProtection algorithmName="SHA-512" hashValue="rKF3XJSiC6w2V/mqF2+wXN9ytS+MdFjuvPWQDHqNVrVO+9nqLk6zLG8MkVwehibiXAXmNmfJ9WyL22jicFuM+A==" saltValue="YS1nvIj/ySAtMCa6ihi35Q==" spinCount="100000" sheet="1" formatCells="0" formatColumns="0" formatRows="0" insertColumns="0" insertRows="0" autoFilter="0"/>
  <autoFilter ref="A2:K78" xr:uid="{00000000-0009-0000-0000-00000B000000}"/>
  <mergeCells count="3">
    <mergeCell ref="C1:E1"/>
    <mergeCell ref="F1:H1"/>
    <mergeCell ref="I1:K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499984740745262"/>
  </sheetPr>
  <dimension ref="A1:K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3" width="12.28515625" style="22" bestFit="1" customWidth="1"/>
    <col min="4" max="4" width="12.85546875" style="22" bestFit="1" customWidth="1"/>
    <col min="5" max="5" width="12" style="22" bestFit="1" customWidth="1"/>
    <col min="6" max="6" width="12.28515625" style="22" bestFit="1" customWidth="1"/>
    <col min="7" max="7" width="12.85546875" style="22" bestFit="1" customWidth="1"/>
    <col min="8" max="8" width="12" style="22" bestFit="1" customWidth="1"/>
    <col min="9" max="9" width="12.28515625" style="22" bestFit="1" customWidth="1"/>
    <col min="10" max="10" width="12.85546875" style="22" bestFit="1" customWidth="1"/>
    <col min="11" max="11" width="12" style="22" bestFit="1" customWidth="1"/>
  </cols>
  <sheetData>
    <row r="1" spans="1:11" ht="13.5" thickBot="1">
      <c r="C1" s="146" t="s">
        <v>61</v>
      </c>
      <c r="D1" s="147"/>
      <c r="E1" s="147"/>
      <c r="F1" s="146" t="s">
        <v>138</v>
      </c>
      <c r="G1" s="147"/>
      <c r="H1" s="147"/>
      <c r="I1" s="146" t="s">
        <v>139</v>
      </c>
      <c r="J1" s="147"/>
      <c r="K1" s="147"/>
    </row>
    <row r="2" spans="1:11">
      <c r="A2" s="11" t="s">
        <v>0</v>
      </c>
      <c r="B2" s="11" t="s">
        <v>43</v>
      </c>
      <c r="C2" s="35" t="s">
        <v>205</v>
      </c>
      <c r="D2" s="36" t="s">
        <v>206</v>
      </c>
      <c r="E2" s="37" t="s">
        <v>207</v>
      </c>
      <c r="F2" s="36" t="s">
        <v>205</v>
      </c>
      <c r="G2" s="36" t="s">
        <v>206</v>
      </c>
      <c r="H2" s="38" t="s">
        <v>207</v>
      </c>
      <c r="I2" s="36" t="s">
        <v>205</v>
      </c>
      <c r="J2" s="36" t="s">
        <v>206</v>
      </c>
      <c r="K2" s="37" t="s">
        <v>207</v>
      </c>
    </row>
    <row r="3" spans="1:11" ht="13.5" thickBot="1">
      <c r="B3" s="26" t="s">
        <v>44</v>
      </c>
      <c r="C3" s="27" t="s">
        <v>143</v>
      </c>
      <c r="D3" s="28" t="s">
        <v>143</v>
      </c>
      <c r="E3" s="29" t="s">
        <v>143</v>
      </c>
      <c r="F3" s="28" t="s">
        <v>144</v>
      </c>
      <c r="G3" s="28" t="s">
        <v>144</v>
      </c>
      <c r="H3" s="39" t="s">
        <v>144</v>
      </c>
      <c r="I3" s="28" t="s">
        <v>145</v>
      </c>
      <c r="J3" s="28" t="s">
        <v>145</v>
      </c>
      <c r="K3" s="29" t="s">
        <v>145</v>
      </c>
    </row>
    <row r="4" spans="1:11">
      <c r="A4" s="87" t="s">
        <v>23</v>
      </c>
      <c r="B4" s="12" t="s">
        <v>59</v>
      </c>
      <c r="C4" s="2">
        <f>IFERROR((s_DL)/(Doses!H2*s_IFAres_adj*s_Fin*s_Fi),".")</f>
        <v>0.36705919058860237</v>
      </c>
      <c r="D4" s="3">
        <f>IFERROR((s_DL)/(Doses!J2*s_GSFa*s_Fin*s_Fi*s_ETres*(1/24)*s_EFres*(1/365)),".")</f>
        <v>1205006.24777912</v>
      </c>
      <c r="E4" s="5">
        <f t="shared" ref="E4" si="0">IFERROR(IF(AND(ISNUMBER(C4),ISNUMBER(D4)),(1/((1/C4)+(1/D4))),IF(AND(ISNUMBER(C4),NOT(ISNUMBER(D4))),(1/(1/C4)),IF(AND(NOT(ISNUMBER(C4)),ISNUMBER(D4)),(1/(1/D4)),"."))),".")</f>
        <v>0.36705907877805483</v>
      </c>
      <c r="F4" s="3">
        <f t="shared" ref="F4" si="1">IFERROR(C4/_1_bq,".")</f>
        <v>1.3581190051778302E-2</v>
      </c>
      <c r="G4" s="3">
        <f t="shared" ref="G4" si="2">IFERROR(D4/_1_bq,".")</f>
        <v>44585.231167827485</v>
      </c>
      <c r="H4" s="4">
        <f t="shared" ref="H4" si="3">IFERROR(E4/_1_bq,".")</f>
        <v>1.3581185914788043E-2</v>
      </c>
      <c r="I4" s="3">
        <f>IFERROR(C4*Isospec!C3*Isospec!F3*s_SSLcm_m,".")</f>
        <v>6.3355421937211744E-15</v>
      </c>
      <c r="J4" s="3">
        <f>IFERROR(D4*Isospec!C3*Isospec!F3*s_SSLcm_m,".")</f>
        <v>2.0798737975365935E-8</v>
      </c>
      <c r="K4" s="5">
        <f>IFERROR(E4*Isospec!C3*Isospec!F3*s_SSLcm_m,".")</f>
        <v>6.3355402638404908E-15</v>
      </c>
    </row>
    <row r="5" spans="1:11">
      <c r="A5" s="88" t="s">
        <v>14</v>
      </c>
      <c r="B5" s="12" t="s">
        <v>44</v>
      </c>
      <c r="C5" s="2">
        <f>IFERROR((s_DL)/(Doses!H3*s_IFAres_adj*s_Fin*s_Fi),".")</f>
        <v>3.4348658201869213E-2</v>
      </c>
      <c r="D5" s="3">
        <f>IFERROR((s_DL)/(Doses!J3*s_GSFa*s_Fin*s_Fi*s_ETres*(1/24)*s_EFres*(1/365)),".")</f>
        <v>1014930.8575044376</v>
      </c>
      <c r="E5" s="5">
        <f>IFERROR(IF(AND(ISNUMBER(C5),ISNUMBER(D5)),(1/((1/C5)+(1/D5))),IF(AND(ISNUMBER(C5),NOT(ISNUMBER(D5))),(1/(1/C5)),IF(AND(NOT(ISNUMBER(C5)),ISNUMBER(D5)),(1/(1/D5)),"."))),".")</f>
        <v>3.4348657039395658E-2</v>
      </c>
      <c r="F5" s="3">
        <f>IFERROR(C5/_1_bq,".")</f>
        <v>1.2709003534691621E-3</v>
      </c>
      <c r="G5" s="3">
        <f>IFERROR(D5/_1_bq,".")</f>
        <v>37552.441727664227</v>
      </c>
      <c r="H5" s="4">
        <f>IFERROR(E5/_1_bq,".")</f>
        <v>1.2709003104576407E-3</v>
      </c>
      <c r="I5" s="3">
        <f>IFERROR(C5*Isospec!C4*Isospec!F4*s_SSLcm_m,".")</f>
        <v>1.0017736702507346E-11</v>
      </c>
      <c r="J5" s="3">
        <f>IFERROR(D5*Isospec!C4*Isospec!F4*s_SSLcm_m,".")</f>
        <v>2.9600312309073447E-4</v>
      </c>
      <c r="K5" s="5">
        <f>IFERROR(E5*Isospec!C4*Isospec!F4*s_SSLcm_m,".")</f>
        <v>1.0017736363473607E-11</v>
      </c>
    </row>
    <row r="6" spans="1:11">
      <c r="A6" s="87" t="s">
        <v>15</v>
      </c>
      <c r="B6" s="12" t="s">
        <v>59</v>
      </c>
      <c r="C6" s="2" t="str">
        <f>IFERROR((s_DL)/(Doses!H4*s_IFAres_adj*s_Fin*s_Fi),".")</f>
        <v>.</v>
      </c>
      <c r="D6" s="3">
        <f>IFERROR((s_DL)/(Doses!J4*s_GSFa*s_Fin*s_Fi*s_ETres*(1/24)*s_EFres*(1/365)),".")</f>
        <v>64342786.438017152</v>
      </c>
      <c r="E6" s="5">
        <f t="shared" ref="E6:E7" si="4">IFERROR(IF(AND(ISNUMBER(C6),ISNUMBER(D6)),(1/((1/C6)+(1/D6))),IF(AND(ISNUMBER(C6),NOT(ISNUMBER(D6))),(1/(1/C6)),IF(AND(NOT(ISNUMBER(C6)),ISNUMBER(D6)),(1/(1/D6)),"."))),".")</f>
        <v>64342786.438017145</v>
      </c>
      <c r="F6" s="3" t="str">
        <f t="shared" ref="F6:F7" si="5">IFERROR(C6/_1_bq,".")</f>
        <v>.</v>
      </c>
      <c r="G6" s="3">
        <f t="shared" ref="G6:G7" si="6">IFERROR(D6/_1_bq,".")</f>
        <v>2380683.098206637</v>
      </c>
      <c r="H6" s="4">
        <f t="shared" ref="H6:H7" si="7">IFERROR(E6/_1_bq,".")</f>
        <v>2380683.098206637</v>
      </c>
      <c r="I6" s="3" t="str">
        <f>IFERROR(C6*Isospec!C5*Isospec!F5*s_SSLcm_m,".")</f>
        <v>.</v>
      </c>
      <c r="J6" s="3">
        <f>IFERROR(D6*Isospec!C5*Isospec!F5*s_SSLcm_m,".")</f>
        <v>4.0041795674263742E-14</v>
      </c>
      <c r="K6" s="5">
        <f>IFERROR(E6*Isospec!C5*Isospec!F5*s_SSLcm_m,".")</f>
        <v>4.0041795674263742E-14</v>
      </c>
    </row>
    <row r="7" spans="1:11">
      <c r="A7" s="87" t="s">
        <v>16</v>
      </c>
      <c r="B7" s="89" t="s">
        <v>59</v>
      </c>
      <c r="C7" s="2" t="str">
        <f>IFERROR((s_DL)/(Doses!H5*s_IFAres_adj*s_Fin*s_Fi),".")</f>
        <v>.</v>
      </c>
      <c r="D7" s="3">
        <f>IFERROR((s_DL)/(Doses!J5*s_GSFa*s_Fin*s_Fi*s_ETres*(1/24)*s_EFres*(1/365)),".")</f>
        <v>695952588.00304282</v>
      </c>
      <c r="E7" s="5">
        <f t="shared" si="4"/>
        <v>695952588.00304282</v>
      </c>
      <c r="F7" s="3" t="str">
        <f t="shared" si="5"/>
        <v>.</v>
      </c>
      <c r="G7" s="3">
        <f t="shared" si="6"/>
        <v>25750245.756112609</v>
      </c>
      <c r="H7" s="4">
        <f t="shared" si="7"/>
        <v>25750245.756112609</v>
      </c>
      <c r="I7" s="3" t="str">
        <f>IFERROR(C7*Isospec!C6*Isospec!F6*s_SSLcm_m,".")</f>
        <v>.</v>
      </c>
      <c r="J7" s="3">
        <f>IFERROR(D7*Isospec!C6*Isospec!F6*s_SSLcm_m,".")</f>
        <v>2.0205929400545015E-11</v>
      </c>
      <c r="K7" s="5">
        <f>IFERROR(E7*Isospec!C6*Isospec!F6*s_SSLcm_m,".")</f>
        <v>2.0205929400545015E-11</v>
      </c>
    </row>
    <row r="8" spans="1:11">
      <c r="A8" s="87" t="s">
        <v>18</v>
      </c>
      <c r="B8" s="12" t="s">
        <v>59</v>
      </c>
      <c r="C8" s="2" t="str">
        <f>IFERROR((s_DL)/(Doses!H6*s_IFAres_adj*s_Fin*s_Fi),".")</f>
        <v>.</v>
      </c>
      <c r="D8" s="3">
        <f>IFERROR((s_DL)/(Doses!J6*s_GSFa*s_Fin*s_Fi*s_ETres*(1/24)*s_EFres*(1/365)),".")</f>
        <v>25354.406551783712</v>
      </c>
      <c r="E8" s="5">
        <f t="shared" ref="E8:E11" si="8">IFERROR(IF(AND(ISNUMBER(C8),ISNUMBER(D8)),(1/((1/C8)+(1/D8))),IF(AND(ISNUMBER(C8),NOT(ISNUMBER(D8))),(1/(1/C8)),IF(AND(NOT(ISNUMBER(C8)),ISNUMBER(D8)),(1/(1/D8)),"."))),".")</f>
        <v>25354.406551783712</v>
      </c>
      <c r="F8" s="3" t="str">
        <f t="shared" ref="F8:F11" si="9">IFERROR(C8/_1_bq,".")</f>
        <v>.</v>
      </c>
      <c r="G8" s="3">
        <f t="shared" ref="G8:G11" si="10">IFERROR(D8/_1_bq,".")</f>
        <v>938.11304241599828</v>
      </c>
      <c r="H8" s="4">
        <f t="shared" ref="H8:H11" si="11">IFERROR(E8/_1_bq,".")</f>
        <v>938.11304241599828</v>
      </c>
      <c r="I8" s="3" t="str">
        <f>IFERROR(C8*Isospec!C7*Isospec!F7*s_SSLcm_m,".")</f>
        <v>.</v>
      </c>
      <c r="J8" s="3">
        <f>IFERROR(D8*Isospec!C7*Isospec!F7*s_SSLcm_m,".")</f>
        <v>4.7223411913109121E-14</v>
      </c>
      <c r="K8" s="5">
        <f>IFERROR(E8*Isospec!C7*Isospec!F7*s_SSLcm_m,".")</f>
        <v>4.7223411913109121E-14</v>
      </c>
    </row>
    <row r="9" spans="1:11">
      <c r="A9" s="87" t="s">
        <v>19</v>
      </c>
      <c r="B9" s="90" t="s">
        <v>59</v>
      </c>
      <c r="C9" s="2">
        <f>IFERROR((s_DL)/(Doses!H7*s_IFAres_adj*s_Fin*s_Fi),".")</f>
        <v>23.079475134269657</v>
      </c>
      <c r="D9" s="3">
        <f>IFERROR((s_DL)/(Doses!J7*s_GSFa*s_Fin*s_Fi*s_ETres*(1/24)*s_EFres*(1/365)),".")</f>
        <v>2643540.8381510922</v>
      </c>
      <c r="E9" s="5">
        <f t="shared" si="8"/>
        <v>23.0792736403058</v>
      </c>
      <c r="F9" s="3">
        <f t="shared" si="9"/>
        <v>0.85394057996797823</v>
      </c>
      <c r="G9" s="3">
        <f t="shared" si="10"/>
        <v>97811.011011590512</v>
      </c>
      <c r="H9" s="4">
        <f t="shared" si="11"/>
        <v>0.85393312469131544</v>
      </c>
      <c r="I9" s="3">
        <f>IFERROR(C9*Isospec!C8*Isospec!F8*s_SSLcm_m,".")</f>
        <v>1.8638377096623791E-13</v>
      </c>
      <c r="J9" s="3">
        <f>IFERROR(D9*Isospec!C8*Isospec!F8*s_SSLcm_m,".")</f>
        <v>2.1348540521454175E-8</v>
      </c>
      <c r="K9" s="5">
        <f>IFERROR(E9*Isospec!C8*Isospec!F8*s_SSLcm_m,".")</f>
        <v>1.8638214375398152E-13</v>
      </c>
    </row>
    <row r="10" spans="1:11">
      <c r="A10" s="87" t="s">
        <v>20</v>
      </c>
      <c r="B10" s="12" t="s">
        <v>59</v>
      </c>
      <c r="C10" s="2">
        <f>IFERROR((s_DL)/(Doses!H8*s_IFAres_adj*s_Fin*s_Fi),".")</f>
        <v>94.918404777559729</v>
      </c>
      <c r="D10" s="3">
        <f>IFERROR((s_DL)/(Doses!J8*s_GSFa*s_Fin*s_Fi*s_ETres*(1/24)*s_EFres*(1/365)),".")</f>
        <v>114820.46064696665</v>
      </c>
      <c r="E10" s="5">
        <f t="shared" si="8"/>
        <v>94.840003578000008</v>
      </c>
      <c r="F10" s="3">
        <f t="shared" si="9"/>
        <v>3.5119809767697134</v>
      </c>
      <c r="G10" s="3">
        <f t="shared" si="10"/>
        <v>4248.35704393777</v>
      </c>
      <c r="H10" s="4">
        <f t="shared" si="11"/>
        <v>3.5090801323860039</v>
      </c>
      <c r="I10" s="3">
        <f>IFERROR(C10*Isospec!C9*Isospec!F9*s_SSLcm_m,".")</f>
        <v>4.9102352663996711E-15</v>
      </c>
      <c r="J10" s="3">
        <f>IFERROR(D10*Isospec!C9*Isospec!F9*s_SSLcm_m,".")</f>
        <v>5.9397908813811182E-12</v>
      </c>
      <c r="K10" s="5">
        <f>IFERROR(E10*Isospec!C9*Isospec!F9*s_SSLcm_m,".")</f>
        <v>4.9061794846373422E-15</v>
      </c>
    </row>
    <row r="11" spans="1:11">
      <c r="A11" s="87" t="s">
        <v>21</v>
      </c>
      <c r="B11" s="90" t="s">
        <v>59</v>
      </c>
      <c r="C11" s="2">
        <f>IFERROR((s_DL)/(Doses!H9*s_IFAres_adj*s_Fin*s_Fi),".")</f>
        <v>340.64296359378324</v>
      </c>
      <c r="D11" s="3">
        <f>IFERROR((s_DL)/(Doses!J9*s_GSFa*s_Fin*s_Fi*s_ETres*(1/24)*s_EFres*(1/365)),".")</f>
        <v>9592.5954464554416</v>
      </c>
      <c r="E11" s="5">
        <f t="shared" si="8"/>
        <v>328.961211494834</v>
      </c>
      <c r="F11" s="3">
        <f t="shared" si="9"/>
        <v>12.603789652969992</v>
      </c>
      <c r="G11" s="3">
        <f t="shared" si="10"/>
        <v>354.92603151885169</v>
      </c>
      <c r="H11" s="4">
        <f t="shared" si="11"/>
        <v>12.17156482530887</v>
      </c>
      <c r="I11" s="3">
        <f>IFERROR(C11*Isospec!C10*Isospec!F10*s_SSLcm_m,".")</f>
        <v>7.7280326281000157E-15</v>
      </c>
      <c r="J11" s="3">
        <f>IFERROR(D11*Isospec!C10*Isospec!F10*s_SSLcm_m,".")</f>
        <v>2.1762343133784369E-13</v>
      </c>
      <c r="K11" s="5">
        <f>IFERROR(E11*Isospec!C10*Isospec!F10*s_SSLcm_m,".")</f>
        <v>7.4630133233663021E-15</v>
      </c>
    </row>
    <row r="12" spans="1:11">
      <c r="A12" s="88" t="s">
        <v>17</v>
      </c>
      <c r="B12" s="12" t="s">
        <v>44</v>
      </c>
      <c r="C12" s="2">
        <f>IFERROR((s_DL)/(Doses!H10*s_IFAres_adj*s_Fin*s_Fi),".")</f>
        <v>80.805836201519668</v>
      </c>
      <c r="D12" s="3">
        <f>IFERROR((s_DL)/(Doses!J10*s_GSFa*s_Fin*s_Fi*s_ETres*(1/24)*s_EFres*(1/365)),".")</f>
        <v>7255675.9174785316</v>
      </c>
      <c r="E12" s="5">
        <f t="shared" ref="E12" si="12">IFERROR(IF(AND(ISNUMBER(C12),ISNUMBER(D12)),(1/((1/C12)+(1/D12))),IF(AND(ISNUMBER(C12),NOT(ISNUMBER(D12))),(1/(1/C12)),IF(AND(NOT(ISNUMBER(C12)),ISNUMBER(D12)),(1/(1/D12)),"."))),".")</f>
        <v>80.804936283921379</v>
      </c>
      <c r="F12" s="3">
        <f t="shared" ref="F12" si="13">IFERROR(C12/_1_bq,".")</f>
        <v>2.9898159394562307</v>
      </c>
      <c r="G12" s="3">
        <f t="shared" ref="G12" si="14">IFERROR(D12/_1_bq,".")</f>
        <v>268460.00894670596</v>
      </c>
      <c r="H12" s="4">
        <f t="shared" ref="H12" si="15">IFERROR(E12/_1_bq,".")</f>
        <v>2.989782642505094</v>
      </c>
      <c r="I12" s="3">
        <f>IFERROR(C12*Isospec!C11*Isospec!F11*s_SSLcm_m,".")</f>
        <v>9.3509318155303804E-10</v>
      </c>
      <c r="J12" s="3">
        <f>IFERROR(D12*Isospec!C11*Isospec!F11*s_SSLcm_m,".")</f>
        <v>8.3963404092155918E-5</v>
      </c>
      <c r="K12" s="5">
        <f>IFERROR(E12*Isospec!C11*Isospec!F11*s_SSLcm_m,".")</f>
        <v>9.3508276761699479E-10</v>
      </c>
    </row>
    <row r="13" spans="1:11">
      <c r="A13" s="87" t="s">
        <v>24</v>
      </c>
      <c r="B13" s="12" t="s">
        <v>59</v>
      </c>
      <c r="C13" s="2" t="str">
        <f>IFERROR((s_DL)/(Doses!H11*s_IFAres_adj*s_Fin*s_Fi),".")</f>
        <v>.</v>
      </c>
      <c r="D13" s="3">
        <f>IFERROR((s_DL)/(Doses!J11*s_GSFa*s_Fin*s_Fi*s_ETres*(1/24)*s_EFres*(1/365)),".")</f>
        <v>545626.82899438555</v>
      </c>
      <c r="E13" s="5">
        <f t="shared" ref="E13" si="16">IFERROR(IF(AND(ISNUMBER(C13),ISNUMBER(D13)),(1/((1/C13)+(1/D13))),IF(AND(ISNUMBER(C13),NOT(ISNUMBER(D13))),(1/(1/C13)),IF(AND(NOT(ISNUMBER(C13)),ISNUMBER(D13)),(1/(1/D13)),"."))),".")</f>
        <v>545626.82899438555</v>
      </c>
      <c r="F13" s="3" t="str">
        <f t="shared" ref="F13" si="17">IFERROR(C13/_1_bq,".")</f>
        <v>.</v>
      </c>
      <c r="G13" s="3">
        <f t="shared" ref="G13" si="18">IFERROR(D13/_1_bq,".")</f>
        <v>20188.192672792287</v>
      </c>
      <c r="H13" s="4">
        <f t="shared" ref="H13" si="19">IFERROR(E13/_1_bq,".")</f>
        <v>20188.192672792287</v>
      </c>
      <c r="I13" s="3" t="str">
        <f>IFERROR(C13*Isospec!C12*Isospec!F12*s_SSLcm_m,".")</f>
        <v>.</v>
      </c>
      <c r="J13" s="3">
        <f>IFERROR(D13*Isospec!C12*Isospec!F12*s_SSLcm_m,".")</f>
        <v>3.1476522464430336E-12</v>
      </c>
      <c r="K13" s="5">
        <f>IFERROR(E13*Isospec!C12*Isospec!F12*s_SSLcm_m,".")</f>
        <v>3.1476522464430336E-12</v>
      </c>
    </row>
    <row r="14" spans="1:11">
      <c r="A14" s="87" t="s">
        <v>22</v>
      </c>
      <c r="B14" s="89" t="s">
        <v>59</v>
      </c>
      <c r="C14" s="2" t="str">
        <f>IFERROR((s_DL)/(Doses!H12*s_IFAres_adj*s_Fin*s_Fi),".")</f>
        <v>.</v>
      </c>
      <c r="D14" s="3">
        <f>IFERROR((s_DL)/(Doses!J12*s_GSFa*s_Fin*s_Fi*s_ETres*(1/24)*s_EFres*(1/365)),".")</f>
        <v>122667.90220197516</v>
      </c>
      <c r="E14" s="5">
        <f t="shared" ref="E14" si="20">IFERROR(IF(AND(ISNUMBER(C14),ISNUMBER(D14)),(1/((1/C14)+(1/D14))),IF(AND(ISNUMBER(C14),NOT(ISNUMBER(D14))),(1/(1/C14)),IF(AND(NOT(ISNUMBER(C14)),ISNUMBER(D14)),(1/(1/D14)),"."))),".")</f>
        <v>122667.90220197516</v>
      </c>
      <c r="F14" s="3" t="str">
        <f t="shared" ref="F14" si="21">IFERROR(C14/_1_bq,".")</f>
        <v>.</v>
      </c>
      <c r="G14" s="3">
        <f t="shared" ref="G14" si="22">IFERROR(D14/_1_bq,".")</f>
        <v>4538.7123814730858</v>
      </c>
      <c r="H14" s="4">
        <f t="shared" ref="H14" si="23">IFERROR(E14/_1_bq,".")</f>
        <v>4538.7123814730858</v>
      </c>
      <c r="I14" s="3" t="str">
        <f>IFERROR(C14*Isospec!C13*Isospec!F13*s_SSLcm_m,".")</f>
        <v>.</v>
      </c>
      <c r="J14" s="3">
        <f>IFERROR(D14*Isospec!C13*Isospec!F13*s_SSLcm_m,".")</f>
        <v>1.0971308881645993E-12</v>
      </c>
      <c r="K14" s="5">
        <f>IFERROR(E14*Isospec!C13*Isospec!F13*s_SSLcm_m,".")</f>
        <v>1.0971308881645993E-12</v>
      </c>
    </row>
    <row r="15" spans="1:11">
      <c r="A15" s="87" t="s">
        <v>28</v>
      </c>
      <c r="B15" s="12" t="s">
        <v>59</v>
      </c>
      <c r="C15" s="2">
        <f>IFERROR((s_DL)/(Doses!H13*s_IFAres_adj*s_Fin*s_Fi),".")</f>
        <v>0.26742883885741031</v>
      </c>
      <c r="D15" s="3">
        <f>IFERROR((s_DL)/(Doses!J13*s_GSFa*s_Fin*s_Fi*s_ETres*(1/24)*s_EFres*(1/365)),".")</f>
        <v>793062.25144532777</v>
      </c>
      <c r="E15" s="5">
        <f t="shared" ref="E15:E16" si="24">IFERROR(IF(AND(ISNUMBER(C15),ISNUMBER(D15)),(1/((1/C15)+(1/D15))),IF(AND(ISNUMBER(C15),NOT(ISNUMBER(D15))),(1/(1/C15)),IF(AND(NOT(ISNUMBER(C15)),ISNUMBER(D15)),(1/(1/D15)),"."))),".")</f>
        <v>0.26742874867765504</v>
      </c>
      <c r="F15" s="3">
        <f t="shared" ref="F15:F16" si="25">IFERROR(C15/_1_bq,".")</f>
        <v>9.8948670377241917E-3</v>
      </c>
      <c r="G15" s="3">
        <f t="shared" ref="G15:G16" si="26">IFERROR(D15/_1_bq,".")</f>
        <v>29343.303303477158</v>
      </c>
      <c r="H15" s="4">
        <f t="shared" ref="H15:H16" si="27">IFERROR(E15/_1_bq,".")</f>
        <v>9.8948637010732466E-3</v>
      </c>
      <c r="I15" s="3">
        <f>IFERROR(C15*Isospec!C14*Isospec!F14*s_SSLcm_m,".")</f>
        <v>3.80486626886627E-7</v>
      </c>
      <c r="J15" s="3">
        <f>IFERROR(D15*Isospec!C14*Isospec!F14*s_SSLcm_m,".")</f>
        <v>1.1283359799667523</v>
      </c>
      <c r="K15" s="5">
        <f>IFERROR(E15*Isospec!C14*Isospec!F14*s_SSLcm_m,".")</f>
        <v>3.804864985826226E-7</v>
      </c>
    </row>
    <row r="16" spans="1:11">
      <c r="A16" s="87" t="s">
        <v>29</v>
      </c>
      <c r="B16" s="12" t="s">
        <v>59</v>
      </c>
      <c r="C16" s="2">
        <f>IFERROR((s_DL)/(Doses!H14*s_IFAres_adj*s_Fin*s_Fi),".")</f>
        <v>738.94810736915997</v>
      </c>
      <c r="D16" s="3">
        <f>IFERROR((s_DL)/(Doses!J14*s_GSFa*s_Fin*s_Fi*s_ETres*(1/24)*s_EFres*(1/365)),".")</f>
        <v>73574.275754366972</v>
      </c>
      <c r="E16" s="5">
        <f t="shared" si="24"/>
        <v>731.60023202465322</v>
      </c>
      <c r="F16" s="3">
        <f t="shared" si="25"/>
        <v>27.341079972658946</v>
      </c>
      <c r="G16" s="3">
        <f t="shared" si="26"/>
        <v>2722.2482029115808</v>
      </c>
      <c r="H16" s="4">
        <f t="shared" si="27"/>
        <v>27.069208584912197</v>
      </c>
      <c r="I16" s="3">
        <f>IFERROR(C16*Isospec!C15*Isospec!F15*s_SSLcm_m,".")</f>
        <v>3.5617847013953761E-11</v>
      </c>
      <c r="J16" s="3">
        <f>IFERROR(D16*Isospec!C15*Isospec!F15*s_SSLcm_m,".")</f>
        <v>3.5463346774259015E-9</v>
      </c>
      <c r="K16" s="5">
        <f>IFERROR(E16*Isospec!C15*Isospec!F15*s_SSLcm_m,".")</f>
        <v>3.5263673970828969E-11</v>
      </c>
    </row>
    <row r="17" spans="1:11">
      <c r="A17" s="87" t="s">
        <v>32</v>
      </c>
      <c r="B17" s="12" t="s">
        <v>59</v>
      </c>
      <c r="C17" s="2">
        <f>IFERROR((s_DL)/(Doses!H15*s_IFAres_adj*s_Fin*s_Fi),".")</f>
        <v>48275.119908357738</v>
      </c>
      <c r="D17" s="3">
        <f>IFERROR((s_DL)/(Doses!J15*s_GSFa*s_Fin*s_Fi*s_ETres*(1/24)*s_EFres*(1/365)),".")</f>
        <v>6820335.3624298181</v>
      </c>
      <c r="E17" s="5">
        <f t="shared" ref="E17:E20" si="28">IFERROR(IF(AND(ISNUMBER(C17),ISNUMBER(D17)),(1/((1/C17)+(1/D17))),IF(AND(ISNUMBER(C17),NOT(ISNUMBER(D17))),(1/(1/C17)),IF(AND(NOT(ISNUMBER(C17)),ISNUMBER(D17)),(1/(1/D17)),"."))),".")</f>
        <v>47935.824615931582</v>
      </c>
      <c r="F17" s="3">
        <f t="shared" ref="F17:F20" si="29">IFERROR(C17/_1_bq,".")</f>
        <v>1786.1794366092381</v>
      </c>
      <c r="G17" s="3">
        <f t="shared" ref="G17:G20" si="30">IFERROR(D17/_1_bq,".")</f>
        <v>252352.40840990352</v>
      </c>
      <c r="H17" s="4">
        <f t="shared" ref="H17:H20" si="31">IFERROR(E17/_1_bq,".")</f>
        <v>1773.6255107894704</v>
      </c>
      <c r="I17" s="3">
        <f>IFERROR(C17*Isospec!C16*Isospec!F16*s_SSLcm_m,".")</f>
        <v>1.0490776524453952E-11</v>
      </c>
      <c r="J17" s="3">
        <f>IFERROR(D17*Isospec!C16*Isospec!F16*s_SSLcm_m,".")</f>
        <v>1.482142649151546E-9</v>
      </c>
      <c r="K17" s="5">
        <f>IFERROR(E17*Isospec!C16*Isospec!F16*s_SSLcm_m,".")</f>
        <v>1.0417043489810039E-11</v>
      </c>
    </row>
    <row r="18" spans="1:11">
      <c r="A18" s="87" t="s">
        <v>33</v>
      </c>
      <c r="B18" s="90" t="s">
        <v>59</v>
      </c>
      <c r="C18" s="2">
        <f>IFERROR((s_DL)/(Doses!H16*s_IFAres_adj*s_Fin*s_Fi),".")</f>
        <v>0.55880652895578264</v>
      </c>
      <c r="D18" s="3">
        <f>IFERROR((s_DL)/(Doses!J16*s_GSFa*s_Fin*s_Fi*s_ETres*(1/24)*s_EFres*(1/365)),".")</f>
        <v>14480542.170763943</v>
      </c>
      <c r="E18" s="5">
        <f t="shared" si="28"/>
        <v>0.55880650739134663</v>
      </c>
      <c r="F18" s="3">
        <f t="shared" si="29"/>
        <v>2.0675841571363977E-2</v>
      </c>
      <c r="G18" s="3">
        <f t="shared" si="30"/>
        <v>535780.06031826639</v>
      </c>
      <c r="H18" s="4">
        <f t="shared" si="31"/>
        <v>2.0675840773479847E-2</v>
      </c>
      <c r="I18" s="3">
        <f>IFERROR(C18*Isospec!C17*Isospec!F17*s_SSLcm_m,".")</f>
        <v>7.2944369063772043E-12</v>
      </c>
      <c r="J18" s="3">
        <f>IFERROR(D18*Isospec!C17*Isospec!F17*s_SSLcm_m,".")</f>
        <v>1.8902320528028422E-4</v>
      </c>
      <c r="K18" s="5">
        <f>IFERROR(E18*Isospec!C17*Isospec!F17*s_SSLcm_m,".")</f>
        <v>7.294436624883682E-12</v>
      </c>
    </row>
    <row r="19" spans="1:11">
      <c r="A19" s="87" t="s">
        <v>34</v>
      </c>
      <c r="B19" s="90" t="s">
        <v>59</v>
      </c>
      <c r="C19" s="2">
        <f>IFERROR((s_DL)/(Doses!H17*s_IFAres_adj*s_Fin*s_Fi),".")</f>
        <v>267.5436151831002</v>
      </c>
      <c r="D19" s="3">
        <f>IFERROR((s_DL)/(Doses!J17*s_GSFa*s_Fin*s_Fi*s_ETres*(1/24)*s_EFres*(1/365)),".")</f>
        <v>61444.462724592959</v>
      </c>
      <c r="E19" s="5">
        <f t="shared" si="28"/>
        <v>266.38371793991001</v>
      </c>
      <c r="F19" s="3">
        <f t="shared" si="29"/>
        <v>9.8991137617747178</v>
      </c>
      <c r="G19" s="3">
        <f t="shared" si="30"/>
        <v>2273.4451208099417</v>
      </c>
      <c r="H19" s="4">
        <f t="shared" si="31"/>
        <v>9.8561975637766803</v>
      </c>
      <c r="I19" s="3">
        <f>IFERROR(C19*Isospec!C18*Isospec!F18*s_SSLcm_m,".")</f>
        <v>8.1742108010553403E-15</v>
      </c>
      <c r="J19" s="3">
        <f>IFERROR(D19*Isospec!C18*Isospec!F18*s_SSLcm_m,".")</f>
        <v>1.8773013533687795E-12</v>
      </c>
      <c r="K19" s="5">
        <f>IFERROR(E19*Isospec!C18*Isospec!F18*s_SSLcm_m,".")</f>
        <v>8.1387726742029742E-15</v>
      </c>
    </row>
    <row r="20" spans="1:11">
      <c r="A20" s="87" t="s">
        <v>36</v>
      </c>
      <c r="B20" s="90" t="s">
        <v>59</v>
      </c>
      <c r="C20" s="2">
        <f>IFERROR((s_DL)/(Doses!H18*s_IFAres_adj*s_Fin*s_Fi),".")</f>
        <v>0.72000072000072002</v>
      </c>
      <c r="D20" s="3">
        <f>IFERROR((s_DL)/(Doses!J18*s_GSFa*s_Fin*s_Fi*s_ETres*(1/24)*s_EFres*(1/365)),".")</f>
        <v>1532659632.006701</v>
      </c>
      <c r="E20" s="5">
        <f t="shared" si="28"/>
        <v>0.7200007196624838</v>
      </c>
      <c r="F20" s="3">
        <f t="shared" si="29"/>
        <v>2.6640026640026668E-2</v>
      </c>
      <c r="G20" s="3">
        <f t="shared" si="30"/>
        <v>56708406.384247996</v>
      </c>
      <c r="H20" s="4">
        <f t="shared" si="31"/>
        <v>2.6640026627511929E-2</v>
      </c>
      <c r="I20" s="3">
        <f>IFERROR(C20*Isospec!C19*Isospec!F19*s_SSLcm_m,".")</f>
        <v>1.6050115600800394E-13</v>
      </c>
      <c r="J20" s="3">
        <f>IFERROR(D20*Isospec!C19*Isospec!F19*s_SSLcm_m,".")</f>
        <v>3.4165749543088147E-4</v>
      </c>
      <c r="K20" s="5">
        <f>IFERROR(E20*Isospec!C19*Isospec!F19*s_SSLcm_m,".")</f>
        <v>1.6050115593260497E-13</v>
      </c>
    </row>
    <row r="21" spans="1:11">
      <c r="A21" s="87" t="s">
        <v>37</v>
      </c>
      <c r="B21" s="12" t="s">
        <v>59</v>
      </c>
      <c r="C21" s="2" t="str">
        <f>IFERROR((s_DL)/(Doses!H19*s_IFAres_adj*s_Fin*s_Fi),".")</f>
        <v>.</v>
      </c>
      <c r="D21" s="3">
        <f>IFERROR((s_DL)/(Doses!J19*s_GSFa*s_Fin*s_Fi*s_ETres*(1/24)*s_EFres*(1/365)),".")</f>
        <v>398850021.19472617</v>
      </c>
      <c r="E21" s="5">
        <f t="shared" ref="E21:E23" si="32">IFERROR(IF(AND(ISNUMBER(C21),ISNUMBER(D21)),(1/((1/C21)+(1/D21))),IF(AND(ISNUMBER(C21),NOT(ISNUMBER(D21))),(1/(1/C21)),IF(AND(NOT(ISNUMBER(C21)),ISNUMBER(D21)),(1/(1/D21)),"."))),".")</f>
        <v>398850021.19472617</v>
      </c>
      <c r="F21" s="3" t="str">
        <f t="shared" ref="F21:F23" si="33">IFERROR(C21/_1_bq,".")</f>
        <v>.</v>
      </c>
      <c r="G21" s="3">
        <f t="shared" ref="G21:G23" si="34">IFERROR(D21/_1_bq,".")</f>
        <v>14757450.784204884</v>
      </c>
      <c r="H21" s="4">
        <f t="shared" ref="H21:H23" si="35">IFERROR(E21/_1_bq,".")</f>
        <v>14757450.784204884</v>
      </c>
      <c r="I21" s="3" t="str">
        <f>IFERROR(C21*Isospec!C20*Isospec!F20*s_SSLcm_m,".")</f>
        <v>.</v>
      </c>
      <c r="J21" s="3">
        <f>IFERROR(D21*Isospec!C20*Isospec!F20*s_SSLcm_m,".")</f>
        <v>3.168034757389131E-17</v>
      </c>
      <c r="K21" s="5">
        <f>IFERROR(E21*Isospec!C20*Isospec!F20*s_SSLcm_m,".")</f>
        <v>3.168034757389131E-17</v>
      </c>
    </row>
    <row r="22" spans="1:11">
      <c r="A22" s="87" t="s">
        <v>38</v>
      </c>
      <c r="B22" s="90" t="s">
        <v>59</v>
      </c>
      <c r="C22" s="2" t="str">
        <f>IFERROR((s_DL)/(Doses!H20*s_IFAres_adj*s_Fin*s_Fi),".")</f>
        <v>.</v>
      </c>
      <c r="D22" s="3">
        <f>IFERROR((s_DL)/(Doses!J20*s_GSFa*s_Fin*s_Fi*s_ETres*(1/24)*s_EFres*(1/365)),".")</f>
        <v>179482509.5376268</v>
      </c>
      <c r="E22" s="5">
        <f t="shared" si="32"/>
        <v>179482509.5376268</v>
      </c>
      <c r="F22" s="3" t="str">
        <f t="shared" si="33"/>
        <v>.</v>
      </c>
      <c r="G22" s="3">
        <f t="shared" si="34"/>
        <v>6640852.8528921986</v>
      </c>
      <c r="H22" s="4">
        <f t="shared" si="35"/>
        <v>6640852.8528921986</v>
      </c>
      <c r="I22" s="3" t="str">
        <f>IFERROR(C22*Isospec!C21*Isospec!F21*s_SSLcm_m,".")</f>
        <v>.</v>
      </c>
      <c r="J22" s="3">
        <f>IFERROR(D22*Isospec!C21*Isospec!F21*s_SSLcm_m,".")</f>
        <v>5.6030551145248457E-16</v>
      </c>
      <c r="K22" s="5">
        <f>IFERROR(E22*Isospec!C21*Isospec!F21*s_SSLcm_m,".")</f>
        <v>5.6030551145248457E-16</v>
      </c>
    </row>
    <row r="23" spans="1:11">
      <c r="A23" s="87" t="s">
        <v>39</v>
      </c>
      <c r="B23" s="90" t="s">
        <v>59</v>
      </c>
      <c r="C23" s="2">
        <f>IFERROR((s_DL)/(Doses!H21*s_IFAres_adj*s_Fin*s_Fi),".")</f>
        <v>1636.1591164740773</v>
      </c>
      <c r="D23" s="3">
        <f>IFERROR((s_DL)/(Doses!J21*s_GSFa*s_Fin*s_Fi*s_ETres*(1/24)*s_EFres*(1/365)),".")</f>
        <v>260318143604.19159</v>
      </c>
      <c r="E23" s="5">
        <f t="shared" si="32"/>
        <v>1636.159106190443</v>
      </c>
      <c r="F23" s="3">
        <f t="shared" si="33"/>
        <v>60.53788730954092</v>
      </c>
      <c r="G23" s="3">
        <f t="shared" si="34"/>
        <v>9631771313.3550987</v>
      </c>
      <c r="H23" s="4">
        <f t="shared" si="35"/>
        <v>60.537886929046451</v>
      </c>
      <c r="I23" s="3">
        <f>IFERROR(C23*Isospec!C22*Isospec!F22*s_SSLcm_m,".")</f>
        <v>5.8904218541797973E-15</v>
      </c>
      <c r="J23" s="3">
        <f>IFERROR(D23*Isospec!C22*Isospec!F22*s_SSLcm_m,".")</f>
        <v>9.3718493921916745E-7</v>
      </c>
      <c r="K23" s="5">
        <f>IFERROR(E23*Isospec!C22*Isospec!F22*s_SSLcm_m,".")</f>
        <v>5.8904218171571493E-15</v>
      </c>
    </row>
    <row r="24" spans="1:11">
      <c r="A24" s="87" t="s">
        <v>26</v>
      </c>
      <c r="B24" s="12" t="s">
        <v>59</v>
      </c>
      <c r="C24" s="2">
        <f>IFERROR((s_DL)/(Doses!H22*s_IFAres_adj*s_Fin*s_Fi),".")</f>
        <v>0.40066627462584664</v>
      </c>
      <c r="D24" s="3">
        <f>IFERROR((s_DL)/(Doses!J22*s_GSFa*s_Fin*s_Fi*s_ETres*(1/24)*s_EFres*(1/365)),".")</f>
        <v>2761269.3775019511</v>
      </c>
      <c r="E24" s="5">
        <f t="shared" ref="E24:E25" si="36">IFERROR(IF(AND(ISNUMBER(C24),ISNUMBER(D24)),(1/((1/C24)+(1/D24))),IF(AND(ISNUMBER(C24),NOT(ISNUMBER(D24))),(1/(1/C24)),IF(AND(NOT(ISNUMBER(C24)),ISNUMBER(D24)),(1/(1/D24)),"."))),".")</f>
        <v>0.40066621648829526</v>
      </c>
      <c r="F24" s="3">
        <f t="shared" ref="F24:F25" si="37">IFERROR(C24/_1_bq,".")</f>
        <v>1.4824652161156341E-2</v>
      </c>
      <c r="G24" s="3">
        <f t="shared" ref="G24:G25" si="38">IFERROR(D24/_1_bq,".")</f>
        <v>102166.9669675723</v>
      </c>
      <c r="H24" s="4">
        <f t="shared" ref="H24:H25" si="39">IFERROR(E24/_1_bq,".")</f>
        <v>1.482465001006694E-2</v>
      </c>
      <c r="I24" s="3">
        <f>IFERROR(C24*Isospec!C23*Isospec!F23*s_SSLcm_m,".")</f>
        <v>1.0304258410720018E-14</v>
      </c>
      <c r="J24" s="3">
        <f>IFERROR(D24*Isospec!C23*Isospec!F23*s_SSLcm_m,".")</f>
        <v>7.1013796292084109E-8</v>
      </c>
      <c r="K24" s="5">
        <f>IFERROR(E24*Isospec!C23*Isospec!F23*s_SSLcm_m,".")</f>
        <v>1.0304256915549619E-14</v>
      </c>
    </row>
    <row r="25" spans="1:11">
      <c r="A25" s="88" t="s">
        <v>27</v>
      </c>
      <c r="B25" s="90" t="s">
        <v>44</v>
      </c>
      <c r="C25" s="2">
        <f>IFERROR((s_DL)/(Doses!H23*s_IFAres_adj*s_Fin*s_Fi),".")</f>
        <v>0.32714595821391945</v>
      </c>
      <c r="D25" s="3">
        <f>IFERROR((s_DL)/(Doses!J23*s_GSFa*s_Fin*s_Fi*s_ETres*(1/24)*s_EFres*(1/365)),".")</f>
        <v>2193033.8785947971</v>
      </c>
      <c r="E25" s="5">
        <f t="shared" si="36"/>
        <v>0.32714590941190913</v>
      </c>
      <c r="F25" s="3">
        <f t="shared" si="37"/>
        <v>1.2104400453915032E-2</v>
      </c>
      <c r="G25" s="3">
        <f t="shared" si="38"/>
        <v>81142.253508007576</v>
      </c>
      <c r="H25" s="4">
        <f t="shared" si="39"/>
        <v>1.2104398648240649E-2</v>
      </c>
      <c r="I25" s="3">
        <f>IFERROR(C25*Isospec!C24*Isospec!F24*s_SSLcm_m,".")</f>
        <v>3.3122873977242915E-10</v>
      </c>
      <c r="J25" s="3">
        <f>IFERROR(D25*Isospec!C24*Isospec!F24*s_SSLcm_m,".")</f>
        <v>2.2204029413996603E-3</v>
      </c>
      <c r="K25" s="5">
        <f>IFERROR(E25*Isospec!C24*Isospec!F24*s_SSLcm_m,".")</f>
        <v>3.3122869036136978E-10</v>
      </c>
    </row>
    <row r="26" spans="1:11">
      <c r="A26" s="87" t="s">
        <v>30</v>
      </c>
      <c r="B26" s="90" t="s">
        <v>59</v>
      </c>
      <c r="C26" s="2" t="str">
        <f>IFERROR((s_DL)/(Doses!H24*s_IFAres_adj*s_Fin*s_Fi),".")</f>
        <v>.</v>
      </c>
      <c r="D26" s="3">
        <f>IFERROR((s_DL)/(Doses!J24*s_GSFa*s_Fin*s_Fi*s_ETres*(1/24)*s_EFres*(1/365)),".")</f>
        <v>20059809.889499459</v>
      </c>
      <c r="E26" s="5">
        <f t="shared" ref="E26:E27" si="40">IFERROR(IF(AND(ISNUMBER(C26),ISNUMBER(D26)),(1/((1/C26)+(1/D26))),IF(AND(ISNUMBER(C26),NOT(ISNUMBER(D26))),(1/(1/C26)),IF(AND(NOT(ISNUMBER(C26)),ISNUMBER(D26)),(1/(1/D26)),"."))),".")</f>
        <v>20059809.889499459</v>
      </c>
      <c r="F26" s="3" t="str">
        <f t="shared" ref="F26:F27" si="41">IFERROR(C26/_1_bq,".")</f>
        <v>.</v>
      </c>
      <c r="G26" s="3">
        <f t="shared" ref="G26:G27" si="42">IFERROR(D26/_1_bq,".")</f>
        <v>742212.96591148071</v>
      </c>
      <c r="H26" s="4">
        <f t="shared" ref="H26:H27" si="43">IFERROR(E26/_1_bq,".")</f>
        <v>742212.96591148071</v>
      </c>
      <c r="I26" s="3" t="str">
        <f>IFERROR(C26*Isospec!C25*Isospec!F25*s_SSLcm_m,".")</f>
        <v>.</v>
      </c>
      <c r="J26" s="3">
        <f>IFERROR(D26*Isospec!C25*Isospec!F25*s_SSLcm_m,".")</f>
        <v>1.3589478008602286E-14</v>
      </c>
      <c r="K26" s="5">
        <f>IFERROR(E26*Isospec!C25*Isospec!F25*s_SSLcm_m,".")</f>
        <v>1.3589478008602286E-14</v>
      </c>
    </row>
    <row r="27" spans="1:11">
      <c r="A27" s="88" t="s">
        <v>31</v>
      </c>
      <c r="B27" s="90" t="s">
        <v>44</v>
      </c>
      <c r="C27" s="2">
        <f>IFERROR((s_DL)/(Doses!H25*s_IFAres_adj*s_Fin*s_Fi),".")</f>
        <v>1903.440071379003</v>
      </c>
      <c r="D27" s="3">
        <f>IFERROR((s_DL)/(Doses!J25*s_GSFa*s_Fin*s_Fi*s_ETres*(1/24)*s_EFres*(1/365)),".")</f>
        <v>39423903.8290741</v>
      </c>
      <c r="E27" s="5">
        <f t="shared" si="40"/>
        <v>1903.3481751223051</v>
      </c>
      <c r="F27" s="3">
        <f t="shared" si="41"/>
        <v>70.427282641023183</v>
      </c>
      <c r="G27" s="3">
        <f t="shared" si="42"/>
        <v>1458684.4416757431</v>
      </c>
      <c r="H27" s="4">
        <f t="shared" si="43"/>
        <v>70.423882479525361</v>
      </c>
      <c r="I27" s="3">
        <f>IFERROR(C27*Isospec!C26*Isospec!F26*s_SSLcm_m,".")</f>
        <v>1.2394198397231256E-11</v>
      </c>
      <c r="J27" s="3">
        <f>IFERROR(D27*Isospec!C26*Isospec!F26*s_SSLcm_m,".")</f>
        <v>2.5670768047712093E-7</v>
      </c>
      <c r="K27" s="5">
        <f>IFERROR(E27*Isospec!C26*Isospec!F26*s_SSLcm_m,".")</f>
        <v>1.2393600017248295E-11</v>
      </c>
    </row>
    <row r="28" spans="1:11">
      <c r="A28" s="87" t="s">
        <v>35</v>
      </c>
      <c r="B28" s="12" t="s">
        <v>59</v>
      </c>
      <c r="C28" s="2">
        <f>IFERROR((s_DL)/(Doses!H26*s_IFAres_adj*s_Fin*s_Fi),".")</f>
        <v>4.4630508206667148E-2</v>
      </c>
      <c r="D28" s="3">
        <f>IFERROR((s_DL)/(Doses!J26*s_GSFa*s_Fin*s_Fi*s_ETres*(1/24)*s_EFres*(1/365)),".")</f>
        <v>205431.78802499454</v>
      </c>
      <c r="E28" s="5">
        <f t="shared" ref="E28:E31" si="44">IFERROR(IF(AND(ISNUMBER(C28),ISNUMBER(D28)),(1/((1/C28)+(1/D28))),IF(AND(ISNUMBER(C28),NOT(ISNUMBER(D28))),(1/(1/C28)),IF(AND(NOT(ISNUMBER(C28)),ISNUMBER(D28)),(1/(1/D28)),"."))),".")</f>
        <v>4.4630498510593093E-2</v>
      </c>
      <c r="F28" s="3">
        <f t="shared" ref="F28:F31" si="45">IFERROR(C28/_1_bq,".")</f>
        <v>1.6513288036466862E-3</v>
      </c>
      <c r="G28" s="3">
        <f t="shared" ref="G28:G31" si="46">IFERROR(D28/_1_bq,".")</f>
        <v>7600.9761569248058</v>
      </c>
      <c r="H28" s="4">
        <f t="shared" ref="H28:H31" si="47">IFERROR(E28/_1_bq,".")</f>
        <v>1.6513284448919461E-3</v>
      </c>
      <c r="I28" s="3">
        <f>IFERROR(C28*Isospec!C27*Isospec!F27*s_SSLcm_m,".")</f>
        <v>2.100493808679239E-10</v>
      </c>
      <c r="J28" s="3">
        <f>IFERROR(D28*Isospec!C27*Isospec!F27*s_SSLcm_m,".")</f>
        <v>9.6684581061513874E-4</v>
      </c>
      <c r="K28" s="5">
        <f>IFERROR(E28*Isospec!C27*Isospec!F27*s_SSLcm_m,".")</f>
        <v>2.1004933523424343E-10</v>
      </c>
    </row>
    <row r="29" spans="1:11">
      <c r="A29" s="87" t="s">
        <v>40</v>
      </c>
      <c r="B29" s="90" t="s">
        <v>59</v>
      </c>
      <c r="C29" s="2" t="str">
        <f>IFERROR((s_DL)/(Doses!H27*s_IFAres_adj*s_Fin*s_Fi),".")</f>
        <v>.</v>
      </c>
      <c r="D29" s="3">
        <f>IFERROR((s_DL)/(Doses!J27*s_GSFa*s_Fin*s_Fi*s_ETres*(1/24)*s_EFres*(1/365)),".")</f>
        <v>1717968.60514605</v>
      </c>
      <c r="E29" s="5">
        <f t="shared" si="44"/>
        <v>1717968.60514605</v>
      </c>
      <c r="F29" s="3" t="str">
        <f t="shared" si="45"/>
        <v>.</v>
      </c>
      <c r="G29" s="3">
        <f t="shared" si="46"/>
        <v>63564.838390403915</v>
      </c>
      <c r="H29" s="4">
        <f t="shared" si="47"/>
        <v>63564.838390403915</v>
      </c>
      <c r="I29" s="3" t="str">
        <f>IFERROR(C29*Isospec!C28*Isospec!F28*s_SSLcm_m,".")</f>
        <v>.</v>
      </c>
      <c r="J29" s="3">
        <f>IFERROR(D29*Isospec!C28*Isospec!F28*s_SSLcm_m,".")</f>
        <v>7.918344794677753E-12</v>
      </c>
      <c r="K29" s="5">
        <f>IFERROR(E29*Isospec!C28*Isospec!F28*s_SSLcm_m,".")</f>
        <v>7.918344794677753E-12</v>
      </c>
    </row>
    <row r="30" spans="1:11">
      <c r="A30" s="87" t="s">
        <v>41</v>
      </c>
      <c r="B30" s="12" t="s">
        <v>59</v>
      </c>
      <c r="C30" s="2" t="str">
        <f>IFERROR((s_DL)/(Doses!H28*s_IFAres_adj*s_Fin*s_Fi),".")</f>
        <v>.</v>
      </c>
      <c r="D30" s="3">
        <f>IFERROR((s_DL)/(Doses!J28*s_GSFa*s_Fin*s_Fi*s_ETres*(1/24)*s_EFres*(1/365)),".")</f>
        <v>6686.603296499823</v>
      </c>
      <c r="E30" s="5">
        <f t="shared" si="44"/>
        <v>6686.603296499824</v>
      </c>
      <c r="F30" s="3" t="str">
        <f t="shared" si="45"/>
        <v>.</v>
      </c>
      <c r="G30" s="3">
        <f t="shared" si="46"/>
        <v>247.4043219704937</v>
      </c>
      <c r="H30" s="4">
        <f t="shared" si="47"/>
        <v>247.40432197049373</v>
      </c>
      <c r="I30" s="3" t="str">
        <f>IFERROR(C30*Isospec!C29*Isospec!F29*s_SSLcm_m,".")</f>
        <v>.</v>
      </c>
      <c r="J30" s="3">
        <f>IFERROR(D30*Isospec!C29*Isospec!F29*s_SSLcm_m,".")</f>
        <v>1.6088267766990759E-14</v>
      </c>
      <c r="K30" s="5">
        <f>IFERROR(E30*Isospec!C29*Isospec!F29*s_SSLcm_m,".")</f>
        <v>1.6088267766990762E-14</v>
      </c>
    </row>
    <row r="31" spans="1:11">
      <c r="A31" s="87" t="s">
        <v>42</v>
      </c>
      <c r="B31" s="90" t="s">
        <v>59</v>
      </c>
      <c r="C31" s="2" t="str">
        <f>IFERROR((s_DL)/(Doses!H29*s_IFAres_adj*s_Fin*s_Fi),".")</f>
        <v>.</v>
      </c>
      <c r="D31" s="3">
        <f>IFERROR((s_DL)/(Doses!J29*s_GSFa*s_Fin*s_Fi*s_ETres*(1/24)*s_EFres*(1/365)),".")</f>
        <v>5166.9207291134981</v>
      </c>
      <c r="E31" s="5">
        <f t="shared" si="44"/>
        <v>5166.9207291134981</v>
      </c>
      <c r="F31" s="3" t="str">
        <f t="shared" si="45"/>
        <v>.</v>
      </c>
      <c r="G31" s="3">
        <f t="shared" si="46"/>
        <v>191.17606697719961</v>
      </c>
      <c r="H31" s="4">
        <f t="shared" si="47"/>
        <v>191.17606697719961</v>
      </c>
      <c r="I31" s="3" t="str">
        <f>IFERROR(C31*Isospec!C30*Isospec!F30*s_SSLcm_m,".")</f>
        <v>.</v>
      </c>
      <c r="J31" s="3">
        <f>IFERROR(D31*Isospec!C30*Isospec!F30*s_SSLcm_m,".")</f>
        <v>7.5144486402859541E-15</v>
      </c>
      <c r="K31" s="5">
        <f>IFERROR(E31*Isospec!C30*Isospec!F30*s_SSLcm_m,".")</f>
        <v>7.5144486402859541E-15</v>
      </c>
    </row>
    <row r="32" spans="1:11">
      <c r="A32" s="87" t="s">
        <v>25</v>
      </c>
      <c r="B32" s="12" t="s">
        <v>59</v>
      </c>
      <c r="C32" s="2">
        <f>IFERROR((s_DL)/(Doses!H30*s_IFAres_adj*s_Fin*s_Fi),".")</f>
        <v>0.32714595821391945</v>
      </c>
      <c r="D32" s="3">
        <f>IFERROR((s_DL)/(Doses!J30*s_GSFa*s_Fin*s_Fi*s_ETres*(1/24)*s_EFres*(1/365)),".")</f>
        <v>64342786.438017152</v>
      </c>
      <c r="E32" s="5">
        <f t="shared" ref="E32" si="48">IFERROR(IF(AND(ISNUMBER(C32),ISNUMBER(D32)),(1/((1/C32)+(1/D32))),IF(AND(ISNUMBER(C32),NOT(ISNUMBER(D32))),(1/(1/C32)),IF(AND(NOT(ISNUMBER(C32)),ISNUMBER(D32)),(1/(1/D32)),"."))),".")</f>
        <v>0.32714595655057094</v>
      </c>
      <c r="F32" s="3">
        <f t="shared" ref="F32" si="49">IFERROR(C32/_1_bq,".")</f>
        <v>1.2104400453915032E-2</v>
      </c>
      <c r="G32" s="3">
        <f t="shared" ref="G32" si="50">IFERROR(D32/_1_bq,".")</f>
        <v>2380683.098206637</v>
      </c>
      <c r="H32" s="4">
        <f t="shared" ref="H32" si="51">IFERROR(E32/_1_bq,".")</f>
        <v>1.2104400392371137E-2</v>
      </c>
      <c r="I32" s="3">
        <f>IFERROR(C32*Isospec!C31*Isospec!F31*s_SSLcm_m,".")</f>
        <v>3.397805968369076E-8</v>
      </c>
      <c r="J32" s="3">
        <f>IFERROR(D32*Isospec!C31*Isospec!F31*s_SSLcm_m,".")</f>
        <v>6.6827756324482523</v>
      </c>
      <c r="K32" s="5">
        <f>IFERROR(E32*Isospec!C31*Isospec!F31*s_SSLcm_m,".")</f>
        <v>3.3978059510931925E-8</v>
      </c>
    </row>
    <row r="33" spans="1:11">
      <c r="A33" s="30" t="s">
        <v>14</v>
      </c>
      <c r="B33" s="30" t="s">
        <v>59</v>
      </c>
      <c r="C33" s="76">
        <f>IFERROR(1/SUM(1/C34,1/C35,1/C36,1/C37,1/C38,1/C39,1/C40,1/C43,1/C46),0)</f>
        <v>1.5736241508464099E-2</v>
      </c>
      <c r="D33" s="77">
        <f>IFERROR(1/SUM(1/D34,1/D35,1/D36,1/D37,1/D38,1/D39,1/D40,1/D41,1/D42,1/D43,1/D44,1/D45,1/D46),0)</f>
        <v>27976.623841929511</v>
      </c>
      <c r="E33" s="78">
        <f>IFERROR(1/SUM(1/E34,1/E35,1/E36,1/E37,1/E38,1/E39,1/E40,1/E41,1/E42,1/E43,1/E44,1/E45,1/E46),0)</f>
        <v>1.5736232657176004E-2</v>
      </c>
      <c r="F33" s="76">
        <f>IFERROR(1/SUM(1/F34,1/F35,1/F36,1/F37,1/F38,1/F39,1/F40,1/F43,1/F46),0)</f>
        <v>5.8224093581317222E-4</v>
      </c>
      <c r="G33" s="77">
        <f>IFERROR(1/SUM(1/G34,1/G35,1/G36,1/G37,1/G38,1/G39,1/G40,1/G41,1/G42,1/G43,1/G44,1/G45,1/G46),0)</f>
        <v>1035.1350821513927</v>
      </c>
      <c r="H33" s="78">
        <f>IFERROR(1/SUM(1/H34,1/H35,1/H36,1/H37,1/H38,1/H39,1/H40,1/H41,1/H42,1/H43,1/H44,1/H45,1/H46),0)</f>
        <v>5.822406083155128E-4</v>
      </c>
      <c r="I33" s="20">
        <f>IFERROR(C33*Isospec!$C$4*Isospec!$F$4*SSLcm_m,".")</f>
        <v>4.5894521757557822E-12</v>
      </c>
      <c r="J33" s="19">
        <f>IFERROR(D33*Isospec!$C$4*Isospec!$F$4*SSLcm_m,".")</f>
        <v>8.1593420571604089E-6</v>
      </c>
      <c r="K33" s="21">
        <f>IFERROR(E33*Isospec!$C$4*Isospec!$F$4*SSLcm_m,".")</f>
        <v>4.5894495942903553E-12</v>
      </c>
    </row>
    <row r="34" spans="1:11">
      <c r="A34" s="31" t="s">
        <v>175</v>
      </c>
      <c r="B34" s="32">
        <v>1</v>
      </c>
      <c r="C34" s="70">
        <f>IFERROR(VLOOKUP("Am-241",$A$4:$L$32,3)/$B34,0)</f>
        <v>3.4348658201869213E-2</v>
      </c>
      <c r="D34" s="71">
        <f>IFERROR(VLOOKUP("Am-241",$A$4:$L$32,4)/$B34,0)</f>
        <v>1014930.8575044376</v>
      </c>
      <c r="E34" s="72">
        <f>IFERROR(IF(AND(C34&lt;&gt;0,D34&lt;&gt;0),(1/((1/C34)+(1/D34))),IF(AND(C34&lt;&gt;0,D34=0),(1/(1/C34)),IF(AND(C34=0,D34&lt;&gt;0),(1/(1/D34)),0))),0)</f>
        <v>3.4348657039395658E-2</v>
      </c>
      <c r="F34" s="70">
        <f>IFERROR(VLOOKUP("Am-241",$A$4:$L$32,6)/$B34,0)</f>
        <v>1.2709003534691621E-3</v>
      </c>
      <c r="G34" s="71">
        <f>IFERROR(VLOOKUP("Am-241",$A$4:$L$32,7)/$B34,0)</f>
        <v>37552.441727664227</v>
      </c>
      <c r="H34" s="72">
        <f>IFERROR(IF(AND(F34&lt;&gt;0,G34&lt;&gt;0),(1/((1/F34)+(1/G34))),IF(AND(F34&lt;&gt;0,G34=0),(1/(1/F34)),IF(AND(F34=0,G34&lt;&gt;0),(1/(1/G34)),0))),0)</f>
        <v>1.2709003104576407E-3</v>
      </c>
      <c r="I34" s="70">
        <f>IFERROR(VLOOKUP("Am-241",$A$4:$K$32,9)/$B34,0)</f>
        <v>1.0017736702507346E-11</v>
      </c>
      <c r="J34" s="71">
        <f>IFERROR(VLOOKUP("Am-241",$A$4:$L$32,10)/$B34,0)</f>
        <v>2.9600312309073447E-4</v>
      </c>
      <c r="K34" s="72">
        <f>IFERROR(VLOOKUP("Am-241",$A$4:$L$32,11)/$B34,0)</f>
        <v>1.0017736363473607E-11</v>
      </c>
    </row>
    <row r="35" spans="1:11">
      <c r="A35" s="31" t="s">
        <v>176</v>
      </c>
      <c r="B35" s="32">
        <v>1</v>
      </c>
      <c r="C35" s="70">
        <f>IFERROR(VLOOKUP("Np-237",$A$4:$L$32,3)/$B35,0)</f>
        <v>0.26742883885741031</v>
      </c>
      <c r="D35" s="71">
        <f>IFERROR(VLOOKUP("Np-237",$A$4:$L$32,4)/$B35,0)</f>
        <v>793062.25144532777</v>
      </c>
      <c r="E35" s="72">
        <f t="shared" ref="E35:E46" si="52">IFERROR(IF(AND(C35&lt;&gt;0,D35&lt;&gt;0),(1/((1/C35)+(1/D35))),IF(AND(C35&lt;&gt;0,D35=0),(1/(1/C35)),IF(AND(C35=0,D35&lt;&gt;0),(1/(1/D35)),0))),0)</f>
        <v>0.26742874867765504</v>
      </c>
      <c r="F35" s="70">
        <f>IFERROR(VLOOKUP("Np-237",$A$4:$L$32,6)/$B35,0)</f>
        <v>9.8948670377241917E-3</v>
      </c>
      <c r="G35" s="71">
        <f>IFERROR(VLOOKUP("Np-237",$A$4:$L$32,7)/$B35,0)</f>
        <v>29343.303303477158</v>
      </c>
      <c r="H35" s="72">
        <f t="shared" ref="H35" si="53">IFERROR(IF(AND(F35&lt;&gt;0,G35&lt;&gt;0),(1/((1/F35)+(1/G35))),IF(AND(F35&lt;&gt;0,G35=0),(1/(1/F35)),IF(AND(F35=0,G35&lt;&gt;0),(1/(1/G35)),0))),0)</f>
        <v>9.8948637010732466E-3</v>
      </c>
      <c r="I35" s="70">
        <f>IFERROR(VLOOKUP("Np-237",$A$4:$L$32,9)/$B35,0)</f>
        <v>3.80486626886627E-7</v>
      </c>
      <c r="J35" s="71">
        <f>IFERROR(VLOOKUP("Np-237",$A$4:$L$32,10)/$B35,0)</f>
        <v>1.1283359799667523</v>
      </c>
      <c r="K35" s="72">
        <f>IFERROR(VLOOKUP("Np-237",$A$4:$L$32,11)/$B35,0)</f>
        <v>3.804864985826226E-7</v>
      </c>
    </row>
    <row r="36" spans="1:11">
      <c r="A36" s="31" t="s">
        <v>177</v>
      </c>
      <c r="B36" s="32">
        <v>1</v>
      </c>
      <c r="C36" s="70">
        <f>IFERROR(VLOOKUP("Pa-233",$A$4:$L$32,3)/$B36,0)</f>
        <v>738.94810736915997</v>
      </c>
      <c r="D36" s="71">
        <f>IFERROR(VLOOKUP("Pa-233",$A$4:$L$32,4)/$B36,0)</f>
        <v>73574.275754366972</v>
      </c>
      <c r="E36" s="72">
        <f>IFERROR(IF(AND(C36&lt;&gt;0,D36&lt;&gt;0),(1/((1/C36)+(1/D36))),IF(AND(C36&lt;&gt;0,D36=0),(1/(1/C36)),IF(AND(C36=0,D36&lt;&gt;0),(1/(1/D36)),0))),0)</f>
        <v>731.60023202465322</v>
      </c>
      <c r="F36" s="70">
        <f>IFERROR(VLOOKUP("Pa-233",$A$4:$L$32,6)/$B36,0)</f>
        <v>27.341079972658946</v>
      </c>
      <c r="G36" s="71">
        <f>IFERROR(VLOOKUP("Pa-233",$A$4:$L$32,7)/$B36,0)</f>
        <v>2722.2482029115808</v>
      </c>
      <c r="H36" s="72">
        <f>IFERROR(IF(AND(F36&lt;&gt;0,G36&lt;&gt;0),(1/((1/F36)+(1/G36))),IF(AND(F36&lt;&gt;0,G36=0),(1/(1/F36)),IF(AND(F36=0,G36&lt;&gt;0),(1/(1/G36)),0))),0)</f>
        <v>27.069208584912193</v>
      </c>
      <c r="I36" s="70">
        <f>IFERROR(VLOOKUP("Pa-233",$A$4:$L$32,9)/$B36,0)</f>
        <v>3.5617847013953761E-11</v>
      </c>
      <c r="J36" s="71">
        <f>IFERROR(VLOOKUP("Pa-233",$A$4:$L$32,10)/$B36,0)</f>
        <v>3.5463346774259015E-9</v>
      </c>
      <c r="K36" s="72">
        <f>IFERROR(VLOOKUP("Pa-233",$A$4:$L$32,11)/$B36,0)</f>
        <v>3.5263673970828969E-11</v>
      </c>
    </row>
    <row r="37" spans="1:11">
      <c r="A37" s="31" t="s">
        <v>178</v>
      </c>
      <c r="B37" s="32">
        <v>1</v>
      </c>
      <c r="C37" s="70">
        <f>IFERROR(VLOOKUP("U-233",$A$4:$L$32,3)/$B37,0)</f>
        <v>0.32714595821391945</v>
      </c>
      <c r="D37" s="71">
        <f>IFERROR(VLOOKUP("U-233",$A$4:$L$32,4)/$B37,0)</f>
        <v>64342786.438017152</v>
      </c>
      <c r="E37" s="72">
        <f t="shared" si="52"/>
        <v>0.32714595655057094</v>
      </c>
      <c r="F37" s="70">
        <f>IFERROR(VLOOKUP("U-233",$A$4:$L$32,6)/$B37,0)</f>
        <v>1.2104400453915032E-2</v>
      </c>
      <c r="G37" s="71">
        <f>IFERROR(VLOOKUP("U-233",$A$4:$L$32,7)/$B37,0)</f>
        <v>2380683.098206637</v>
      </c>
      <c r="H37" s="72">
        <f t="shared" ref="H37:H46" si="54">IFERROR(IF(AND(F37&lt;&gt;0,G37&lt;&gt;0),(1/((1/F37)+(1/G37))),IF(AND(F37&lt;&gt;0,G37=0),(1/(1/F37)),IF(AND(F37=0,G37&lt;&gt;0),(1/(1/G37)),0))),0)</f>
        <v>1.2104400392371137E-2</v>
      </c>
      <c r="I37" s="70">
        <f>IFERROR(VLOOKUP("U-233",$A$4:$L$32,9)/$B37,0)</f>
        <v>3.397805968369076E-8</v>
      </c>
      <c r="J37" s="71">
        <f>IFERROR(VLOOKUP("U-233",$A$4:$L$32,10)/$B37,0)</f>
        <v>6.6827756324482523</v>
      </c>
      <c r="K37" s="72">
        <f>IFERROR(VLOOKUP("U-233",$A$4:$L$32,11)/$B37,0)</f>
        <v>3.3978059510931925E-8</v>
      </c>
    </row>
    <row r="38" spans="1:11">
      <c r="A38" s="31" t="s">
        <v>179</v>
      </c>
      <c r="B38" s="32">
        <v>1</v>
      </c>
      <c r="C38" s="70">
        <f>IFERROR(VLOOKUP("Th-229",$A$4:$L$32,3)/$B38,0)</f>
        <v>4.4630508206667148E-2</v>
      </c>
      <c r="D38" s="71">
        <f>IFERROR(VLOOKUP("Th-229",$A$4:$L$32,4)/$B38,0)</f>
        <v>205431.78802499454</v>
      </c>
      <c r="E38" s="72">
        <f t="shared" si="52"/>
        <v>4.4630498510593093E-2</v>
      </c>
      <c r="F38" s="70">
        <f>IFERROR(VLOOKUP("Th-229",$A$4:$L$32,6)/$B38,0)</f>
        <v>1.6513288036466862E-3</v>
      </c>
      <c r="G38" s="71">
        <f>IFERROR(VLOOKUP("Th-229",$A$4:$L$32,7)/$B38,0)</f>
        <v>7600.9761569248058</v>
      </c>
      <c r="H38" s="72">
        <f t="shared" si="54"/>
        <v>1.6513284448919461E-3</v>
      </c>
      <c r="I38" s="70">
        <f>IFERROR(VLOOKUP("Th-229",$A$4:$L$32,9)/$B38,0)</f>
        <v>2.100493808679239E-10</v>
      </c>
      <c r="J38" s="71">
        <f>IFERROR(VLOOKUP("Th-229",$A$4:$L$32,10)/$B38,0)</f>
        <v>9.6684581061513874E-4</v>
      </c>
      <c r="K38" s="72">
        <f>IFERROR(VLOOKUP("Th-229",$A$4:$L$32,11)/$B38,0)</f>
        <v>2.1004933523424343E-10</v>
      </c>
    </row>
    <row r="39" spans="1:11">
      <c r="A39" s="31" t="s">
        <v>180</v>
      </c>
      <c r="B39" s="32">
        <v>1</v>
      </c>
      <c r="C39" s="70">
        <f>IFERROR(VLOOKUP("Ra-225",$A$4:$L$32,3)/$B39,0)</f>
        <v>0.40066627462584664</v>
      </c>
      <c r="D39" s="71">
        <f>IFERROR(VLOOKUP("Ra-225",$A$4:$L$32,4)/$B39,0)</f>
        <v>2761269.3775019511</v>
      </c>
      <c r="E39" s="72">
        <f t="shared" si="52"/>
        <v>0.40066621648829526</v>
      </c>
      <c r="F39" s="70">
        <f>IFERROR(VLOOKUP("Ra-225",$A$4:$L$32,6)/$B39,0)</f>
        <v>1.4824652161156341E-2</v>
      </c>
      <c r="G39" s="71">
        <f>IFERROR(VLOOKUP("Ra-225",$A$4:$L$32,7)/$B39,0)</f>
        <v>102166.9669675723</v>
      </c>
      <c r="H39" s="72">
        <f t="shared" si="54"/>
        <v>1.4824650010066939E-2</v>
      </c>
      <c r="I39" s="70">
        <f>IFERROR(VLOOKUP("Ra-225",$A$4:$L$32,9)/$B39,0)</f>
        <v>1.0304258410720018E-14</v>
      </c>
      <c r="J39" s="71">
        <f>IFERROR(VLOOKUP("Ra-225",$A$4:$L$32,10)/$B39,0)</f>
        <v>7.1013796292084109E-8</v>
      </c>
      <c r="K39" s="72">
        <f>IFERROR(VLOOKUP("Ra-225",$A$4:$L$32,11)/$B39,0)</f>
        <v>1.0304256915549619E-14</v>
      </c>
    </row>
    <row r="40" spans="1:11">
      <c r="A40" s="31" t="s">
        <v>181</v>
      </c>
      <c r="B40" s="32">
        <v>1</v>
      </c>
      <c r="C40" s="70">
        <f>IFERROR(VLOOKUP("Ac-225",$A$4:$L$32,3)/$B40,0)</f>
        <v>0.36705919058860237</v>
      </c>
      <c r="D40" s="71">
        <f>IFERROR(VLOOKUP("Ac-225",$A$4:$L$32,4)/$B40,0)</f>
        <v>1205006.24777912</v>
      </c>
      <c r="E40" s="72">
        <f t="shared" si="52"/>
        <v>0.36705907877805483</v>
      </c>
      <c r="F40" s="70">
        <f>IFERROR(VLOOKUP("Ac-225",$A$4:$L$32,6)/$B40,0)</f>
        <v>1.3581190051778302E-2</v>
      </c>
      <c r="G40" s="71">
        <f>IFERROR(VLOOKUP("Ac-225",$A$4:$L$32,7)/$B40,0)</f>
        <v>44585.231167827485</v>
      </c>
      <c r="H40" s="72">
        <f t="shared" si="54"/>
        <v>1.3581185914788043E-2</v>
      </c>
      <c r="I40" s="70">
        <f>IFERROR(VLOOKUP("Ac-225",$A$4:$L$32,9)/$B40,0)</f>
        <v>6.3355421937211744E-15</v>
      </c>
      <c r="J40" s="71">
        <f>IFERROR(VLOOKUP("Ac-225",$A$4:$L$32,10)/$B40,0)</f>
        <v>2.0798737975365935E-8</v>
      </c>
      <c r="K40" s="72">
        <f>IFERROR(VLOOKUP("Ac-225",$A$4:$L$32,11)/$B40,0)</f>
        <v>6.3355402638404908E-15</v>
      </c>
    </row>
    <row r="41" spans="1:11">
      <c r="A41" s="31" t="s">
        <v>182</v>
      </c>
      <c r="B41" s="32">
        <v>1</v>
      </c>
      <c r="C41" s="70">
        <f>IFERROR(VLOOKUP("Fr-221",$A$4:$L$32,3)/$B41,0)</f>
        <v>0</v>
      </c>
      <c r="D41" s="71">
        <f>IFERROR(VLOOKUP("Fr-221",$A$4:$L$32,4)/$B41,0)</f>
        <v>545626.82899438555</v>
      </c>
      <c r="E41" s="72">
        <f t="shared" si="52"/>
        <v>545626.82899438555</v>
      </c>
      <c r="F41" s="70">
        <f>IFERROR(VLOOKUP("Fr-221",$A$4:$L$32,6)/$B41,0)</f>
        <v>0</v>
      </c>
      <c r="G41" s="71">
        <f>IFERROR(VLOOKUP("Fr-221",$A$4:$L$32,7)/$B41,0)</f>
        <v>20188.192672792287</v>
      </c>
      <c r="H41" s="72">
        <f t="shared" si="54"/>
        <v>20188.192672792287</v>
      </c>
      <c r="I41" s="70">
        <f>IFERROR(VLOOKUP("Fr-221",$A$4:$L$32,9)/$B41,0)</f>
        <v>0</v>
      </c>
      <c r="J41" s="71">
        <f>IFERROR(VLOOKUP("Fr-221",$A$4:$L$32,10)/$B41,0)</f>
        <v>3.1476522464430336E-12</v>
      </c>
      <c r="K41" s="72">
        <f>IFERROR(VLOOKUP("Fr-221",$A$4:$L$32,11)/$B41,0)</f>
        <v>3.1476522464430336E-12</v>
      </c>
    </row>
    <row r="42" spans="1:11">
      <c r="A42" s="31" t="s">
        <v>183</v>
      </c>
      <c r="B42" s="32">
        <v>1</v>
      </c>
      <c r="C42" s="70">
        <f>IFERROR(VLOOKUP("At-217",$A$4:$L$32,3)/$B42,0)</f>
        <v>0</v>
      </c>
      <c r="D42" s="71">
        <f>IFERROR(VLOOKUP("At-217",$A$4:$L$32,4)/$B42,0)</f>
        <v>64342786.438017152</v>
      </c>
      <c r="E42" s="72">
        <f t="shared" si="52"/>
        <v>64342786.438017145</v>
      </c>
      <c r="F42" s="70">
        <f>IFERROR(VLOOKUP("At-217",$A$4:$L$32,6)/$B42,0)</f>
        <v>0</v>
      </c>
      <c r="G42" s="71">
        <f>IFERROR(VLOOKUP("At-217",$A$4:$L$32,7)/$B42,0)</f>
        <v>2380683.098206637</v>
      </c>
      <c r="H42" s="72">
        <f t="shared" si="54"/>
        <v>2380683.098206637</v>
      </c>
      <c r="I42" s="70">
        <f>IFERROR(VLOOKUP("At-217",$A$4:$L$32,9)/$B42,0)</f>
        <v>0</v>
      </c>
      <c r="J42" s="71">
        <f>IFERROR(VLOOKUP("At-217",$A$4:$L$32,10)/$B42,0)</f>
        <v>4.0041795674263742E-14</v>
      </c>
      <c r="K42" s="72">
        <f>IFERROR(VLOOKUP("At-217",$A$4:$L$32,11)/$B42,0)</f>
        <v>4.0041795674263742E-14</v>
      </c>
    </row>
    <row r="43" spans="1:11">
      <c r="A43" s="31" t="s">
        <v>184</v>
      </c>
      <c r="B43" s="33">
        <v>0.99987999999999999</v>
      </c>
      <c r="C43" s="70">
        <f>IFERROR(VLOOKUP("Bi-213",$A$4:$L$32,3)/$B43,0)</f>
        <v>94.9297963531221</v>
      </c>
      <c r="D43" s="71">
        <f>IFERROR(VLOOKUP("Bi-213",$A$4:$L$32,4)/$B43,0)</f>
        <v>114834.24075585735</v>
      </c>
      <c r="E43" s="72">
        <f t="shared" si="52"/>
        <v>94.851385744289317</v>
      </c>
      <c r="F43" s="70">
        <f>IFERROR(VLOOKUP("Bi-213",$A$4:$L$32,6)/$B43,0)</f>
        <v>3.5124024650655215</v>
      </c>
      <c r="G43" s="71">
        <f>IFERROR(VLOOKUP("Bi-213",$A$4:$L$32,7)/$B43,0)</f>
        <v>4248.8669079667261</v>
      </c>
      <c r="H43" s="72">
        <f t="shared" si="54"/>
        <v>3.5095012725387082</v>
      </c>
      <c r="I43" s="70">
        <f>IFERROR(VLOOKUP("Bi-213",$A$4:$L$32,9)/$B43,0)</f>
        <v>4.9108245653475125E-15</v>
      </c>
      <c r="J43" s="71">
        <f>IFERROR(VLOOKUP("Bi-213",$A$4:$L$32,10)/$B43,0)</f>
        <v>5.9405037418301375E-12</v>
      </c>
      <c r="K43" s="72">
        <f>IFERROR(VLOOKUP("Bi-213",$A$4:$L$32,11)/$B43,0)</f>
        <v>4.9067682968329619E-15</v>
      </c>
    </row>
    <row r="44" spans="1:11">
      <c r="A44" s="31" t="s">
        <v>185</v>
      </c>
      <c r="B44" s="32">
        <v>0.97898250799999997</v>
      </c>
      <c r="C44" s="70">
        <f>IFERROR(VLOOKUP("Po-213",$A$4:$L$32,3)/$B44,0)</f>
        <v>0</v>
      </c>
      <c r="D44" s="71">
        <f>IFERROR(VLOOKUP("Po-213",$A$4:$L$32,4)/$B44,0)</f>
        <v>407412816.8127864</v>
      </c>
      <c r="E44" s="72">
        <f t="shared" si="52"/>
        <v>407412816.8127864</v>
      </c>
      <c r="F44" s="70">
        <f>IFERROR(VLOOKUP("Po-213",$A$4:$L$32,6)/$B44,0)</f>
        <v>0</v>
      </c>
      <c r="G44" s="71">
        <f>IFERROR(VLOOKUP("Po-213",$A$4:$L$32,7)/$B44,0)</f>
        <v>15074274.222073112</v>
      </c>
      <c r="H44" s="72">
        <f t="shared" si="54"/>
        <v>15074274.22207311</v>
      </c>
      <c r="I44" s="70">
        <f>IFERROR(VLOOKUP("Po-213",$A$4:$L$32,9)/$B44,0)</f>
        <v>0</v>
      </c>
      <c r="J44" s="71">
        <f>IFERROR(VLOOKUP("Po-213",$A$4:$L$32,10)/$B44,0)</f>
        <v>3.2360483782914854E-17</v>
      </c>
      <c r="K44" s="72">
        <f>IFERROR(VLOOKUP("Po-213",$A$4:$L$32,11)/$B44,0)</f>
        <v>3.2360483782914854E-17</v>
      </c>
    </row>
    <row r="45" spans="1:11">
      <c r="A45" s="31" t="s">
        <v>186</v>
      </c>
      <c r="B45" s="32">
        <v>2.0897492E-2</v>
      </c>
      <c r="C45" s="70">
        <f>IFERROR(VLOOKUP("Tl-209",$A$4:$L$32,3)/$B45,0)</f>
        <v>0</v>
      </c>
      <c r="D45" s="71">
        <f>IFERROR(VLOOKUP("Tl-209",$A$4:$L$32,4)/$B45,0)</f>
        <v>319971.5686695716</v>
      </c>
      <c r="E45" s="72">
        <f t="shared" si="52"/>
        <v>319971.5686695716</v>
      </c>
      <c r="F45" s="70">
        <f>IFERROR(VLOOKUP("Tl-209",$A$4:$L$32,6)/$B45,0)</f>
        <v>0</v>
      </c>
      <c r="G45" s="71">
        <f>IFERROR(VLOOKUP("Tl-209",$A$4:$L$32,7)/$B45,0)</f>
        <v>11838.948040774161</v>
      </c>
      <c r="H45" s="72">
        <f t="shared" si="54"/>
        <v>11838.948040774163</v>
      </c>
      <c r="I45" s="70">
        <f>IFERROR(VLOOKUP("Tl-209",$A$4:$L$32,9)/$B45,0)</f>
        <v>0</v>
      </c>
      <c r="J45" s="71">
        <f>IFERROR(VLOOKUP("Tl-209",$A$4:$L$32,10)/$B45,0)</f>
        <v>7.6986596128333296E-13</v>
      </c>
      <c r="K45" s="72">
        <f>IFERROR(VLOOKUP("Tl-209",$A$4:$L$32,11)/$B45,0)</f>
        <v>7.6986596128333306E-13</v>
      </c>
    </row>
    <row r="46" spans="1:11">
      <c r="A46" s="31" t="s">
        <v>187</v>
      </c>
      <c r="B46" s="32">
        <v>0.99987999999999999</v>
      </c>
      <c r="C46" s="70">
        <f>IFERROR(VLOOKUP("Pb-209",$A$4:$L$32,3)/$B46,0)</f>
        <v>48280.913617991901</v>
      </c>
      <c r="D46" s="71">
        <f>IFERROR(VLOOKUP("Pb-209",$A$4:$L$32,4)/$B46,0)</f>
        <v>6821153.9008979257</v>
      </c>
      <c r="E46" s="72">
        <f t="shared" si="52"/>
        <v>47941.577605244209</v>
      </c>
      <c r="F46" s="70">
        <f>IFERROR(VLOOKUP("Pb-209",$A$4:$L$32,6)/$B46,0)</f>
        <v>1786.393803865702</v>
      </c>
      <c r="G46" s="71">
        <f>IFERROR(VLOOKUP("Pb-209",$A$4:$L$32,7)/$B46,0)</f>
        <v>252382.69433322351</v>
      </c>
      <c r="H46" s="72">
        <f t="shared" si="54"/>
        <v>1773.8383713940377</v>
      </c>
      <c r="I46" s="70">
        <f>IFERROR(VLOOKUP("Pb-209",$A$4:$L$32,9)/$B46,0)</f>
        <v>1.0492035568722199E-11</v>
      </c>
      <c r="J46" s="71">
        <f>IFERROR(VLOOKUP("Pb-209",$A$4:$L$32,10)/$B46,0)</f>
        <v>1.4823205276148598E-9</v>
      </c>
      <c r="K46" s="72">
        <f>IFERROR(VLOOKUP("Pb-209",$A$4:$L$32,11)/$B46,0)</f>
        <v>1.0418293685052245E-11</v>
      </c>
    </row>
    <row r="47" spans="1:11">
      <c r="A47" s="30" t="s">
        <v>17</v>
      </c>
      <c r="B47" s="30" t="s">
        <v>59</v>
      </c>
      <c r="C47" s="76">
        <f>IFERROR(1/SUM(1/C48),0)</f>
        <v>80.805836201519668</v>
      </c>
      <c r="D47" s="77">
        <f>IFERROR(1/SUM(1/D48,1/D49),0)</f>
        <v>26759.708038593049</v>
      </c>
      <c r="E47" s="78">
        <f>IFERROR(1/SUM(1/E48,1/E49),".")</f>
        <v>80.56256279793709</v>
      </c>
      <c r="F47" s="76">
        <f>IFERROR(1/SUM(1/F48),0)</f>
        <v>2.9898159394562307</v>
      </c>
      <c r="G47" s="77">
        <f>IFERROR(1/SUM(1/G48,1/G49),0)</f>
        <v>990.10919742794385</v>
      </c>
      <c r="H47" s="78">
        <f>IFERROR(1/SUM(1/H48,1/H49),".")</f>
        <v>2.9808148235236751</v>
      </c>
      <c r="I47" s="73">
        <f>IFERROR(C47*Isospec!$C$11*Isospec!$F$11*SSLcm_m,".")</f>
        <v>9.3509318155303804E-10</v>
      </c>
      <c r="J47" s="74">
        <f>IFERROR(D47*Isospec!$C$11*Isospec!$F$11*SSLcm_m,".")</f>
        <v>3.0966600561913106E-7</v>
      </c>
      <c r="K47" s="75">
        <f>IFERROR(E47*Isospec!$C$11*Isospec!$F$11*SSLcm_m,".")</f>
        <v>9.3227799750648017E-10</v>
      </c>
    </row>
    <row r="48" spans="1:11">
      <c r="A48" s="31" t="s">
        <v>188</v>
      </c>
      <c r="B48" s="32">
        <v>1</v>
      </c>
      <c r="C48" s="70">
        <f>IFERROR(VLOOKUP("Cs-137",$A$4:$L$32,3)/$B48,0)</f>
        <v>80.805836201519668</v>
      </c>
      <c r="D48" s="71">
        <f>IFERROR(VLOOKUP("Cs-137",$A$4:$L$32,4)/$B48,0)</f>
        <v>7255675.9174785316</v>
      </c>
      <c r="E48" s="72">
        <f>IFERROR(IF(AND(C48&lt;&gt;0,D48&lt;&gt;0),(1/((1/C48)+(1/D48))),IF(AND(C48&lt;&gt;0,D48=0),(1/(1/C48)),IF(AND(C48=0,D48&lt;&gt;0),(1/(1/D48)),0))),0)</f>
        <v>80.804936283921379</v>
      </c>
      <c r="F48" s="70">
        <f>IFERROR(VLOOKUP("Cs-137",$A$4:$L$32,6)/$B48,0)</f>
        <v>2.9898159394562307</v>
      </c>
      <c r="G48" s="71">
        <f>IFERROR(VLOOKUP("Cs-137",$A$4:$L$32,7)/$B48,0)</f>
        <v>268460.00894670596</v>
      </c>
      <c r="H48" s="72">
        <f>IFERROR(IF(AND(F48&lt;&gt;0,G48&lt;&gt;0),(1/((1/F48)+(1/G48))),IF(AND(F48&lt;&gt;0,G48=0),(1/(1/F48)),IF(AND(F48=0,G48&lt;&gt;0),(1/(1/G48)),0))),0)</f>
        <v>2.989782642505094</v>
      </c>
      <c r="I48" s="70">
        <f>IFERROR(VLOOKUP("Cs-137",$A$4:$L$32,9)/$B48,0)</f>
        <v>9.3509318155303804E-10</v>
      </c>
      <c r="J48" s="71">
        <f>IFERROR(VLOOKUP("Cs-137",$A$4:$L$32,10)/$B48,0)</f>
        <v>8.3963404092155918E-5</v>
      </c>
      <c r="K48" s="72">
        <f>IFERROR(VLOOKUP("Cs-137",$A$4:$L$32,11)/$B48,0)</f>
        <v>9.3508276761699479E-10</v>
      </c>
    </row>
    <row r="49" spans="1:11">
      <c r="A49" s="31" t="s">
        <v>189</v>
      </c>
      <c r="B49" s="32">
        <v>0.94399</v>
      </c>
      <c r="C49" s="70">
        <f>IFERROR(VLOOKUP("Ba-137m",$A$4:$L$32,3)/$B49,0)</f>
        <v>0</v>
      </c>
      <c r="D49" s="71">
        <f>IFERROR(VLOOKUP("Ba-137m",$A$4:$L$32,4)/$B49,0)</f>
        <v>26858.766037546702</v>
      </c>
      <c r="E49" s="72">
        <f>IFERROR(IF(AND(C49&lt;&gt;0,D49&lt;&gt;0),(1/((1/C49)+(1/D49))),IF(AND(C49&lt;&gt;0,D49=0),(1/(1/C49)),IF(AND(C49=0,D49&lt;&gt;0),(1/(1/D49)),0))),0)</f>
        <v>26858.766037546702</v>
      </c>
      <c r="F49" s="70">
        <f>IFERROR(VLOOKUP("Ba-137m",$A$4:$L$32,6)/$B49,0)</f>
        <v>0</v>
      </c>
      <c r="G49" s="71">
        <f>IFERROR(VLOOKUP("Ba-137m",$A$4:$L$32,7)/$B49,0)</f>
        <v>993.77434338922899</v>
      </c>
      <c r="H49" s="72">
        <f>IFERROR(IF(AND(F49&lt;&gt;0,G49&lt;&gt;0),(1/((1/F49)+(1/G49))),IF(AND(F49&lt;&gt;0,G49=0),(1/(1/F49)),IF(AND(F49=0,G49&lt;&gt;0),(1/(1/G49)),0))),0)</f>
        <v>993.77434338922899</v>
      </c>
      <c r="I49" s="70">
        <f>IFERROR(VLOOKUP("Ba-137m",$A$4:$L$32,9)/$B49,0)</f>
        <v>0</v>
      </c>
      <c r="J49" s="71">
        <f>IFERROR(VLOOKUP("Ba-137m",$A$4:$L$32,10)/$B49,0)</f>
        <v>5.0025330684762679E-14</v>
      </c>
      <c r="K49" s="72">
        <f>IFERROR(VLOOKUP("Ba-137m",$A$4:$L$32,11)/$B49,0)</f>
        <v>5.0025330684762679E-14</v>
      </c>
    </row>
    <row r="50" spans="1:11">
      <c r="A50" s="30" t="s">
        <v>27</v>
      </c>
      <c r="B50" s="30" t="s">
        <v>59</v>
      </c>
      <c r="C50" s="76">
        <f>IFERROR(1/SUM(1/C51,1/C56,1/C57,1/C60,1/C61,1/C62),0)</f>
        <v>0.15910503202581935</v>
      </c>
      <c r="D50" s="77">
        <f>IFERROR(1/SUM(1/D51,1/D52,1/D53,1/D56,1/D54,1/D57,1/D55,1/D58,1/D59,1/D60,1/D61,1/D63,1/D62,1/D64),0)</f>
        <v>8230.8441397019087</v>
      </c>
      <c r="E50" s="78">
        <f>IFERROR(1/SUM(1/E51,1/E52,1/E53,1/E56,1/E54,1/E57,1/E55,1/E58,1/E59,1/E60,1/E61,1/E63,1/E62,1/E64),0)</f>
        <v>0.15907319169754111</v>
      </c>
      <c r="F50" s="76">
        <f>IFERROR(1/SUM(1/F51,1/F56,1/F57,1/F60,1/F61,1/F62),0)</f>
        <v>5.8868861849553228E-3</v>
      </c>
      <c r="G50" s="77">
        <f>IFERROR(1/SUM(1/G51,1/G52,1/G53,1/G56,1/G54,1/G57,1/G55,1/G58,1/G59,1/G60,1/G61,1/G63,1/G62,1/G64),0)</f>
        <v>304.54123316897102</v>
      </c>
      <c r="H50" s="78">
        <f>IFERROR(1/SUM(1/H51,1/H52,1/H53,1/H56,1/H54,1/H57,1/H55,1/H58,1/H59,1/H60,1/H61,1/H63,1/H62,1/H64),0)</f>
        <v>5.8857080928090277E-3</v>
      </c>
      <c r="I50" s="73">
        <f>IFERROR(C50*Isospec!$C$24*Isospec!$F$24*SSLcm_m,".")</f>
        <v>1.6109066282550158E-10</v>
      </c>
      <c r="J50" s="74">
        <f>IFERROR(D50*Isospec!$C$24*Isospec!$F$24*SSLcm_m,".")</f>
        <v>8.3335650745653897E-6</v>
      </c>
      <c r="K50" s="75">
        <f>IFERROR(E50*Isospec!$C$24*Isospec!$F$24*SSLcm_m,".")</f>
        <v>1.6105842512992642E-10</v>
      </c>
    </row>
    <row r="51" spans="1:11">
      <c r="A51" s="31" t="s">
        <v>190</v>
      </c>
      <c r="B51" s="32">
        <v>1</v>
      </c>
      <c r="C51" s="70">
        <f>IFERROR(VLOOKUP("Ra-226",$A$4:$L$32,3)/$B51,0)</f>
        <v>0.32714595821391945</v>
      </c>
      <c r="D51" s="71">
        <f>IFERROR(VLOOKUP("Ra-226",$A$4:$L$32,4)/$B51,0)</f>
        <v>2193033.8785947971</v>
      </c>
      <c r="E51" s="72">
        <f t="shared" ref="E51:E64" si="55">IFERROR(IF(AND(C51&lt;&gt;0,D51&lt;&gt;0),(1/((1/C51)+(1/D51))),IF(AND(C51&lt;&gt;0,D51=0),(1/(1/C51)),IF(AND(C51=0,D51&lt;&gt;0),(1/(1/D51)),0))),0)</f>
        <v>0.32714590941190913</v>
      </c>
      <c r="F51" s="70">
        <f>IFERROR(VLOOKUP("Ra-226",$A$4:$L$32,6)/$B51,0)</f>
        <v>1.2104400453915032E-2</v>
      </c>
      <c r="G51" s="71">
        <f>IFERROR(VLOOKUP("Ra-226",$A$4:$L$32,7)/$B51,0)</f>
        <v>81142.253508007576</v>
      </c>
      <c r="H51" s="72">
        <f t="shared" ref="H51:H64" si="56">IFERROR(IF(AND(F51&lt;&gt;0,G51&lt;&gt;0),(1/((1/F51)+(1/G51))),IF(AND(F51&lt;&gt;0,G51=0),(1/(1/F51)),IF(AND(F51=0,G51&lt;&gt;0),(1/(1/G51)),0))),0)</f>
        <v>1.2104398648240651E-2</v>
      </c>
      <c r="I51" s="70">
        <f>IFERROR(VLOOKUP("Ra-226",$A$4:$L$32,9)/$B51,0)</f>
        <v>3.3122873977242915E-10</v>
      </c>
      <c r="J51" s="71">
        <f>IFERROR(VLOOKUP("Ra-226",$A$4:$L$32,10)/$B51,0)</f>
        <v>2.2204029413996603E-3</v>
      </c>
      <c r="K51" s="72">
        <f>IFERROR(VLOOKUP("Ra-226",$A$4:$L$32,11)/$B51,0)</f>
        <v>3.3122869036136978E-10</v>
      </c>
    </row>
    <row r="52" spans="1:11">
      <c r="A52" s="31" t="s">
        <v>191</v>
      </c>
      <c r="B52" s="32">
        <v>1</v>
      </c>
      <c r="C52" s="70">
        <f>IFERROR(VLOOKUP("Rn-222",$A$4:$L$32,3)/$B52,0)</f>
        <v>1903.440071379003</v>
      </c>
      <c r="D52" s="71">
        <f>IFERROR(VLOOKUP("Rn-222",$A$4:$L$32,4)/$B52,0)</f>
        <v>39423903.8290741</v>
      </c>
      <c r="E52" s="72">
        <f t="shared" si="55"/>
        <v>1903.3481751223051</v>
      </c>
      <c r="F52" s="70">
        <f>IFERROR(VLOOKUP("Rn-222",$A$4:$L$32,6)/$B52,0)</f>
        <v>70.427282641023183</v>
      </c>
      <c r="G52" s="71">
        <f>IFERROR(VLOOKUP("Rn-222",$A$4:$L$32,7)/$B52,0)</f>
        <v>1458684.4416757431</v>
      </c>
      <c r="H52" s="72">
        <f t="shared" si="56"/>
        <v>70.423882479525361</v>
      </c>
      <c r="I52" s="70">
        <f>IFERROR(VLOOKUP("Rn-222",$A$4:$L$32,9)/$B52,0)</f>
        <v>1.2394198397231256E-11</v>
      </c>
      <c r="J52" s="71">
        <f>IFERROR(VLOOKUP("Rn-222",$A$4:$L$32,10)/$B52,0)</f>
        <v>2.5670768047712093E-7</v>
      </c>
      <c r="K52" s="72">
        <f>IFERROR(VLOOKUP("Rn-222",$A$4:$L$32,11)/$B52,0)</f>
        <v>1.2393600017248295E-11</v>
      </c>
    </row>
    <row r="53" spans="1:11">
      <c r="A53" s="31" t="s">
        <v>192</v>
      </c>
      <c r="B53" s="32">
        <v>1</v>
      </c>
      <c r="C53" s="70">
        <f>IFERROR(VLOOKUP("Po-218",$A$4:$L$32,3)/$B53,0)</f>
        <v>1636.1591164740773</v>
      </c>
      <c r="D53" s="71">
        <f>IFERROR(VLOOKUP("Po-218",$A$4:$L$32,4)/$B53,0)</f>
        <v>260318143604.19159</v>
      </c>
      <c r="E53" s="72">
        <f t="shared" si="55"/>
        <v>1636.159106190443</v>
      </c>
      <c r="F53" s="70">
        <f>IFERROR(VLOOKUP("Po-218",$A$4:$L$32,6)/$B53,0)</f>
        <v>60.53788730954092</v>
      </c>
      <c r="G53" s="71">
        <f>IFERROR(VLOOKUP("Po-218",$A$4:$L$32,7)/$B53,0)</f>
        <v>9631771313.3550987</v>
      </c>
      <c r="H53" s="72">
        <f t="shared" si="56"/>
        <v>60.537886929046437</v>
      </c>
      <c r="I53" s="70">
        <f>IFERROR(VLOOKUP("Po-218",$A$4:$L$32,9)/$B53,0)</f>
        <v>5.8904218541797973E-15</v>
      </c>
      <c r="J53" s="71">
        <f>IFERROR(VLOOKUP("Po-218",$A$4:$L$32,10)/$B53,0)</f>
        <v>9.3718493921916745E-7</v>
      </c>
      <c r="K53" s="72">
        <f>IFERROR(VLOOKUP("Po-218",$A$4:$L$32,11)/$B53,0)</f>
        <v>5.8904218171571493E-15</v>
      </c>
    </row>
    <row r="54" spans="1:11">
      <c r="A54" s="31" t="s">
        <v>194</v>
      </c>
      <c r="B54" s="32">
        <v>2.0000000000000001E-4</v>
      </c>
      <c r="C54" s="70">
        <f>IFERROR(VLOOKUP("At-218",$A$4:$L$32,3)/$B54,0)</f>
        <v>0</v>
      </c>
      <c r="D54" s="71">
        <f>IFERROR(VLOOKUP("At-218",$A$4:$L$32,4)/$B54,0)</f>
        <v>3479762940015.2139</v>
      </c>
      <c r="E54" s="72">
        <f>IFERROR(IF(AND(C54&lt;&gt;0,D54&lt;&gt;0),(1/((1/C54)+(1/D54))),IF(AND(C54&lt;&gt;0,D54=0),(1/(1/C54)),IF(AND(C54=0,D54&lt;&gt;0),(1/(1/D54)),0))),0)</f>
        <v>3479762940015.2139</v>
      </c>
      <c r="F54" s="70">
        <f>IFERROR(VLOOKUP("At-218",$A$4:$L$32,6)/$B54,0)</f>
        <v>0</v>
      </c>
      <c r="G54" s="71">
        <f>IFERROR(VLOOKUP("At-218",$A$4:$L$32,7)/$B54,0)</f>
        <v>128751228780.56303</v>
      </c>
      <c r="H54" s="72">
        <f>IFERROR(IF(AND(F54&lt;&gt;0,G54&lt;&gt;0),(1/((1/F54)+(1/G54))),IF(AND(F54&lt;&gt;0,G54=0),(1/(1/F54)),IF(AND(F54=0,G54&lt;&gt;0),(1/(1/G54)),0))),0)</f>
        <v>128751228780.56302</v>
      </c>
      <c r="I54" s="70">
        <f>IFERROR(VLOOKUP("At-218",$A$4:$L$32,9)/$B54,0)</f>
        <v>0</v>
      </c>
      <c r="J54" s="71">
        <f>IFERROR(VLOOKUP("At-218",$A$4:$L$32,10)/$B54,0)</f>
        <v>1.0102964700272507E-7</v>
      </c>
      <c r="K54" s="72">
        <f>IFERROR(VLOOKUP("At-218",$A$4:$L$32,11)/$B54,0)</f>
        <v>1.0102964700272507E-7</v>
      </c>
    </row>
    <row r="55" spans="1:11">
      <c r="A55" s="31" t="s">
        <v>196</v>
      </c>
      <c r="B55" s="32">
        <v>1.9999999999999999E-7</v>
      </c>
      <c r="C55" s="70">
        <f>IFERROR(VLOOKUP("Rn-218",$A$4:$L$32,3)/$B55,0)</f>
        <v>0</v>
      </c>
      <c r="D55" s="71">
        <f>IFERROR(VLOOKUP("Rn-218",$A$4:$L$32,4)/$B55,0)</f>
        <v>100299049447497.3</v>
      </c>
      <c r="E55" s="72">
        <f>IFERROR(IF(AND(C55&lt;&gt;0,D55&lt;&gt;0),(1/((1/C55)+(1/D55))),IF(AND(C55&lt;&gt;0,D55=0),(1/(1/C55)),IF(AND(C55=0,D55&lt;&gt;0),(1/(1/D55)),0))),0)</f>
        <v>100299049447497.3</v>
      </c>
      <c r="F55" s="70">
        <f>IFERROR(VLOOKUP("Rn-218",$A$4:$L$32,6)/$B55,0)</f>
        <v>0</v>
      </c>
      <c r="G55" s="71">
        <f>IFERROR(VLOOKUP("Rn-218",$A$4:$L$32,7)/$B55,0)</f>
        <v>3711064829557.4038</v>
      </c>
      <c r="H55" s="72">
        <f>IFERROR(IF(AND(F55&lt;&gt;0,G55&lt;&gt;0),(1/((1/F55)+(1/G55))),IF(AND(F55&lt;&gt;0,G55=0),(1/(1/F55)),IF(AND(F55=0,G55&lt;&gt;0),(1/(1/G55)),0))),0)</f>
        <v>3711064829557.4038</v>
      </c>
      <c r="I55" s="70">
        <f>IFERROR(VLOOKUP("Rn-218",$A$4:$L$32,9)/$B55,0)</f>
        <v>0</v>
      </c>
      <c r="J55" s="71">
        <f>IFERROR(VLOOKUP("Rn-218",$A$4:$L$32,10)/$B55,0)</f>
        <v>6.7947390043011438E-8</v>
      </c>
      <c r="K55" s="72">
        <f>IFERROR(VLOOKUP("Rn-218",$A$4:$L$32,11)/$B55,0)</f>
        <v>6.7947390043011438E-8</v>
      </c>
    </row>
    <row r="56" spans="1:11">
      <c r="A56" s="31" t="s">
        <v>193</v>
      </c>
      <c r="B56" s="32">
        <v>0.99980000000000002</v>
      </c>
      <c r="C56" s="70">
        <f>IFERROR(VLOOKUP("Pb-214",$A$4:$L$32,3)/$B56,0)</f>
        <v>267.59713461002218</v>
      </c>
      <c r="D56" s="71">
        <f>IFERROR(VLOOKUP("Pb-214",$A$4:$L$32,4)/$B56,0)</f>
        <v>61456.75407540804</v>
      </c>
      <c r="E56" s="72">
        <f t="shared" si="55"/>
        <v>266.43700534097815</v>
      </c>
      <c r="F56" s="70">
        <f>IFERROR(VLOOKUP("Pb-214",$A$4:$L$32,6)/$B56,0)</f>
        <v>9.9010939805708311</v>
      </c>
      <c r="G56" s="71">
        <f>IFERROR(VLOOKUP("Pb-214",$A$4:$L$32,7)/$B56,0)</f>
        <v>2273.8999007900998</v>
      </c>
      <c r="H56" s="72">
        <f t="shared" si="56"/>
        <v>9.8581691976162027</v>
      </c>
      <c r="I56" s="70">
        <f>IFERROR(VLOOKUP("Pb-214",$A$4:$L$32,9)/$B56,0)</f>
        <v>8.1758459702493901E-15</v>
      </c>
      <c r="J56" s="71">
        <f>IFERROR(VLOOKUP("Pb-214",$A$4:$L$32,10)/$B56,0)</f>
        <v>1.8776768887465288E-12</v>
      </c>
      <c r="K56" s="72">
        <f>IFERROR(VLOOKUP("Pb-214",$A$4:$L$32,11)/$B56,0)</f>
        <v>8.1404007543538442E-15</v>
      </c>
    </row>
    <row r="57" spans="1:11">
      <c r="A57" s="31" t="s">
        <v>195</v>
      </c>
      <c r="B57" s="32">
        <v>0.99999979999999999</v>
      </c>
      <c r="C57" s="70">
        <f>IFERROR(VLOOKUP("Bi-214",$A$4:$L$32,3)/$B57,0)</f>
        <v>340.64303172238959</v>
      </c>
      <c r="D57" s="71">
        <f>IFERROR(VLOOKUP("Bi-214",$A$4:$L$32,4)/$B57,0)</f>
        <v>9592.5973649749139</v>
      </c>
      <c r="E57" s="72">
        <f t="shared" si="55"/>
        <v>328.96127728708944</v>
      </c>
      <c r="F57" s="70">
        <f>IFERROR(VLOOKUP("Bi-214",$A$4:$L$32,6)/$B57,0)</f>
        <v>12.603792173728426</v>
      </c>
      <c r="G57" s="71">
        <f>IFERROR(VLOOKUP("Bi-214",$A$4:$L$32,7)/$B57,0)</f>
        <v>354.92610250407216</v>
      </c>
      <c r="H57" s="72">
        <f t="shared" si="56"/>
        <v>12.171567259622321</v>
      </c>
      <c r="I57" s="70">
        <f>IFERROR(VLOOKUP("Bi-214",$A$4:$L$32,9)/$B57,0)</f>
        <v>7.7280341737068506E-15</v>
      </c>
      <c r="J57" s="71">
        <f>IFERROR(VLOOKUP("Bi-214",$A$4:$L$32,10)/$B57,0)</f>
        <v>2.1762347486253865E-13</v>
      </c>
      <c r="K57" s="72">
        <f>IFERROR(VLOOKUP("Bi-214",$A$4:$L$32,11)/$B57,0)</f>
        <v>7.4630148159692652E-15</v>
      </c>
    </row>
    <row r="58" spans="1:11">
      <c r="A58" s="31" t="s">
        <v>197</v>
      </c>
      <c r="B58" s="32">
        <v>0.99979000004200003</v>
      </c>
      <c r="C58" s="70">
        <f>IFERROR(VLOOKUP("Po-214",$A$4:$L$32,3)/$B58,0)</f>
        <v>0</v>
      </c>
      <c r="D58" s="71">
        <f>IFERROR(VLOOKUP("Po-214",$A$4:$L$32,4)/$B58,0)</f>
        <v>179520208.77392948</v>
      </c>
      <c r="E58" s="72">
        <f t="shared" si="55"/>
        <v>179520208.77392948</v>
      </c>
      <c r="F58" s="70">
        <f>IFERROR(VLOOKUP("Po-214",$A$4:$L$32,6)/$B58,0)</f>
        <v>0</v>
      </c>
      <c r="G58" s="71">
        <f>IFERROR(VLOOKUP("Po-214",$A$4:$L$32,7)/$B58,0)</f>
        <v>6642247.7246353971</v>
      </c>
      <c r="H58" s="72">
        <f t="shared" si="56"/>
        <v>6642247.7246353971</v>
      </c>
      <c r="I58" s="70">
        <f>IFERROR(VLOOKUP("Po-214",$A$4:$L$32,9)/$B58,0)</f>
        <v>0</v>
      </c>
      <c r="J58" s="71">
        <f>IFERROR(VLOOKUP("Po-214",$A$4:$L$32,10)/$B58,0)</f>
        <v>5.6042320030100995E-16</v>
      </c>
      <c r="K58" s="72">
        <f>IFERROR(VLOOKUP("Po-214",$A$4:$L$32,11)/$B58,0)</f>
        <v>5.6042320030100995E-16</v>
      </c>
    </row>
    <row r="59" spans="1:11">
      <c r="A59" s="31" t="s">
        <v>198</v>
      </c>
      <c r="B59" s="32">
        <v>2.0999995799999999E-4</v>
      </c>
      <c r="C59" s="70">
        <f>IFERROR(VLOOKUP("Tl-210",$A$4:$L$32,3)/$B59,0)</f>
        <v>0</v>
      </c>
      <c r="D59" s="71">
        <f>IFERROR(VLOOKUP("Tl-210",$A$4:$L$32,4)/$B59,0)</f>
        <v>24604389.34522786</v>
      </c>
      <c r="E59" s="72">
        <f t="shared" si="55"/>
        <v>24604389.34522786</v>
      </c>
      <c r="F59" s="70">
        <f>IFERROR(VLOOKUP("Tl-210",$A$4:$L$32,6)/$B59,0)</f>
        <v>0</v>
      </c>
      <c r="G59" s="71">
        <f>IFERROR(VLOOKUP("Tl-210",$A$4:$L$32,7)/$B59,0)</f>
        <v>910362.40577343176</v>
      </c>
      <c r="H59" s="72">
        <f t="shared" si="56"/>
        <v>910362.40577343164</v>
      </c>
      <c r="I59" s="70">
        <f>IFERROR(VLOOKUP("Tl-210",$A$4:$L$32,9)/$B59,0)</f>
        <v>0</v>
      </c>
      <c r="J59" s="71">
        <f>IFERROR(VLOOKUP("Tl-210",$A$4:$L$32,10)/$B59,0)</f>
        <v>3.5783095919885634E-11</v>
      </c>
      <c r="K59" s="72">
        <f>IFERROR(VLOOKUP("Tl-210",$A$4:$L$32,11)/$B59,0)</f>
        <v>3.5783095919885634E-11</v>
      </c>
    </row>
    <row r="60" spans="1:11">
      <c r="A60" s="31" t="s">
        <v>199</v>
      </c>
      <c r="B60" s="32">
        <v>1</v>
      </c>
      <c r="C60" s="70">
        <f>IFERROR(VLOOKUP("Pb-210",$A$4:$L$32,3)/$B60,0)</f>
        <v>0.55880652895578264</v>
      </c>
      <c r="D60" s="71">
        <f>IFERROR(VLOOKUP("Pb-210",$A$4:$L$32,4)/$B60,0)</f>
        <v>14480542.170763943</v>
      </c>
      <c r="E60" s="72">
        <f t="shared" si="55"/>
        <v>0.55880650739134663</v>
      </c>
      <c r="F60" s="70">
        <f>IFERROR(VLOOKUP("Pb-210",$A$4:$L$32,6)/$B60,0)</f>
        <v>2.0675841571363977E-2</v>
      </c>
      <c r="G60" s="71">
        <f>IFERROR(VLOOKUP("Pb-210",$A$4:$L$32,7)/$B60,0)</f>
        <v>535780.06031826639</v>
      </c>
      <c r="H60" s="72">
        <f t="shared" si="56"/>
        <v>2.0675840773479844E-2</v>
      </c>
      <c r="I60" s="70">
        <f>IFERROR(VLOOKUP("Pb-210",$A$4:$L$32,9)/$B60,0)</f>
        <v>7.2944369063772043E-12</v>
      </c>
      <c r="J60" s="71">
        <f>IFERROR(VLOOKUP("Pb-210",$A$4:$L$32,10)/$B60,0)</f>
        <v>1.8902320528028422E-4</v>
      </c>
      <c r="K60" s="72">
        <f>IFERROR(VLOOKUP("Pb-210",$A$4:$L$32,11)/$B60,0)</f>
        <v>7.294436624883682E-12</v>
      </c>
    </row>
    <row r="61" spans="1:11">
      <c r="A61" s="31" t="s">
        <v>200</v>
      </c>
      <c r="B61" s="32">
        <v>1</v>
      </c>
      <c r="C61" s="70">
        <f>IFERROR(VLOOKUP("Bi-210",$A$4:$L$32,3)/$B61,0)</f>
        <v>23.079475134269657</v>
      </c>
      <c r="D61" s="71">
        <f>IFERROR(VLOOKUP("Bi-210",$A$4:$L$32,4)/$B61,0)</f>
        <v>2643540.8381510922</v>
      </c>
      <c r="E61" s="72">
        <f t="shared" si="55"/>
        <v>23.0792736403058</v>
      </c>
      <c r="F61" s="70">
        <f>IFERROR(VLOOKUP("Bi-210",$A$4:$L$32,6)/$B61,0)</f>
        <v>0.85394057996797823</v>
      </c>
      <c r="G61" s="71">
        <f>IFERROR(VLOOKUP("Bi-210",$A$4:$L$32,7)/$B61,0)</f>
        <v>97811.011011590512</v>
      </c>
      <c r="H61" s="72">
        <f t="shared" si="56"/>
        <v>0.85393312469131566</v>
      </c>
      <c r="I61" s="70">
        <f>IFERROR(VLOOKUP("Bi-210",$A$4:$L$32,9)/$B61,0)</f>
        <v>1.8638377096623791E-13</v>
      </c>
      <c r="J61" s="71">
        <f>IFERROR(VLOOKUP("Bi-210",$A$4:$L$32,10)/$B61,0)</f>
        <v>2.1348540521454175E-8</v>
      </c>
      <c r="K61" s="72">
        <f>IFERROR(VLOOKUP("Bi-210",$A$4:$L$32,11)/$B61,0)</f>
        <v>1.8638214375398152E-13</v>
      </c>
    </row>
    <row r="62" spans="1:11">
      <c r="A62" s="31" t="s">
        <v>202</v>
      </c>
      <c r="B62" s="32">
        <v>1</v>
      </c>
      <c r="C62" s="70">
        <f>IFERROR(VLOOKUP("Po-210",$A$4:$L$32,3)/$B62,0)</f>
        <v>0.72000072000072002</v>
      </c>
      <c r="D62" s="71">
        <f>IFERROR(VLOOKUP("Po-210",$A$4:$L$32,4)/$B62,0)</f>
        <v>1532659632.006701</v>
      </c>
      <c r="E62" s="72">
        <f>IFERROR(IF(AND(C62&lt;&gt;0,D62&lt;&gt;0),(1/((1/C62)+(1/D62))),IF(AND(C62&lt;&gt;0,D62=0),(1/(1/C62)),IF(AND(C62=0,D62&lt;&gt;0),(1/(1/D62)),0))),0)</f>
        <v>0.7200007196624838</v>
      </c>
      <c r="F62" s="70">
        <f>IFERROR(VLOOKUP("Po-210",$A$4:$L$32,6)/$B62,0)</f>
        <v>2.6640026640026668E-2</v>
      </c>
      <c r="G62" s="71">
        <f>IFERROR(VLOOKUP("Po-210",$A$4:$L$32,7)/$B62,0)</f>
        <v>56708406.384247996</v>
      </c>
      <c r="H62" s="72">
        <f>IFERROR(IF(AND(F62&lt;&gt;0,G62&lt;&gt;0),(1/((1/F62)+(1/G62))),IF(AND(F62&lt;&gt;0,G62=0),(1/(1/F62)),IF(AND(F62=0,G62&lt;&gt;0),(1/(1/G62)),0))),0)</f>
        <v>2.6640026627511925E-2</v>
      </c>
      <c r="I62" s="70">
        <f>IFERROR(VLOOKUP("Po-210",$A$4:$L$32,9)/$B62,0)</f>
        <v>1.6050115600800394E-13</v>
      </c>
      <c r="J62" s="71">
        <f>IFERROR(VLOOKUP("Po-210",$A$4:$L$32,10)/$B62,0)</f>
        <v>3.4165749543088147E-4</v>
      </c>
      <c r="K62" s="72">
        <f>IFERROR(VLOOKUP("Po-210",$A$4:$L$32,11)/$B62,0)</f>
        <v>1.6050115593260497E-13</v>
      </c>
    </row>
    <row r="63" spans="1:11">
      <c r="A63" s="31" t="s">
        <v>201</v>
      </c>
      <c r="B63" s="34">
        <v>1.9000000000000001E-8</v>
      </c>
      <c r="C63" s="70">
        <f>IFERROR(VLOOKUP("Hg-206",$A$4:$L$32,3)/$B63,0)</f>
        <v>0</v>
      </c>
      <c r="D63" s="71">
        <f>IFERROR(VLOOKUP("Hg-206",$A$4:$L$32,4)/$B63,0)</f>
        <v>6456205379051.3232</v>
      </c>
      <c r="E63" s="72">
        <f t="shared" si="55"/>
        <v>6456205379051.3232</v>
      </c>
      <c r="F63" s="70">
        <f>IFERROR(VLOOKUP("Hg-206",$A$4:$L$32,6)/$B63,0)</f>
        <v>0</v>
      </c>
      <c r="G63" s="71">
        <f>IFERROR(VLOOKUP("Hg-206",$A$4:$L$32,7)/$B63,0)</f>
        <v>238879599024.89923</v>
      </c>
      <c r="H63" s="72">
        <f t="shared" si="56"/>
        <v>238879599024.8992</v>
      </c>
      <c r="I63" s="70">
        <f>IFERROR(VLOOKUP("Hg-206",$A$4:$L$32,9)/$B63,0)</f>
        <v>0</v>
      </c>
      <c r="J63" s="71">
        <f>IFERROR(VLOOKUP("Hg-206",$A$4:$L$32,10)/$B63,0)</f>
        <v>5.7743730956031542E-5</v>
      </c>
      <c r="K63" s="72">
        <f>IFERROR(VLOOKUP("Hg-206",$A$4:$L$32,11)/$B63,0)</f>
        <v>5.7743730956031542E-5</v>
      </c>
    </row>
    <row r="64" spans="1:11">
      <c r="A64" s="31" t="s">
        <v>203</v>
      </c>
      <c r="B64" s="32">
        <v>1.339E-6</v>
      </c>
      <c r="C64" s="70">
        <f>IFERROR(VLOOKUP("Tl-206",$A$4:$L$32,3)/$B64,0)</f>
        <v>0</v>
      </c>
      <c r="D64" s="71">
        <f>IFERROR(VLOOKUP("Tl-206",$A$4:$L$32,4)/$B64,0)</f>
        <v>1283023603544.4734</v>
      </c>
      <c r="E64" s="72">
        <f t="shared" si="55"/>
        <v>1283023603544.4734</v>
      </c>
      <c r="F64" s="70">
        <f>IFERROR(VLOOKUP("Tl-206",$A$4:$L$32,6)/$B64,0)</f>
        <v>0</v>
      </c>
      <c r="G64" s="71">
        <f>IFERROR(VLOOKUP("Tl-206",$A$4:$L$32,7)/$B64,0)</f>
        <v>47471873331.145569</v>
      </c>
      <c r="H64" s="72">
        <f t="shared" si="56"/>
        <v>47471873331.145569</v>
      </c>
      <c r="I64" s="70">
        <f>IFERROR(VLOOKUP("Tl-206",$A$4:$L$32,9)/$B64,0)</f>
        <v>0</v>
      </c>
      <c r="J64" s="71">
        <f>IFERROR(VLOOKUP("Tl-206",$A$4:$L$32,10)/$B64,0)</f>
        <v>5.9136256868392477E-6</v>
      </c>
      <c r="K64" s="72">
        <f>IFERROR(VLOOKUP("Tl-206",$A$4:$L$32,11)/$B64,0)</f>
        <v>5.9136256868392477E-6</v>
      </c>
    </row>
    <row r="65" spans="1:11">
      <c r="A65" s="30" t="s">
        <v>31</v>
      </c>
      <c r="B65" s="30" t="s">
        <v>59</v>
      </c>
      <c r="C65" s="76">
        <f>IFERROR(1/SUM(1/C66,1/C67,1/C70,1/C71,1/C74,1/C75,1/C76),0)</f>
        <v>0.30964034523768791</v>
      </c>
      <c r="D65" s="77">
        <f>IFERROR(1/SUM(1/D66,1/D67,1/D68,1/D69,1/D70,1/D71,1/D72,1/D73,1/D74,1/D75,1/D76,1/D77),0)</f>
        <v>8261.852386403094</v>
      </c>
      <c r="E65" s="78">
        <f>IFERROR(1/SUM(1/E66,1/E67,1/E68,1/E69,1/E70,1/E71,1/E72,1/E73,1/E74,1/E75,1/E76,1/E77),0)</f>
        <v>0.30962874087274217</v>
      </c>
      <c r="F65" s="76">
        <f>IFERROR(1/SUM(1/F66,1/F67,1/F70,1/F71,1/F74,1/F75,1/F76),0)</f>
        <v>1.1456692773794465E-2</v>
      </c>
      <c r="G65" s="77">
        <f>IFERROR(1/SUM(1/G66,1/G67,1/G68,1/G69,1/G70,1/G71,1/G72,1/G73,1/G74,1/G75,1/G76,1/G77),0)</f>
        <v>305.68853829691488</v>
      </c>
      <c r="H65" s="78">
        <f>IFERROR(1/SUM(1/H66,1/H67,1/H68,1/H69,1/H70,1/H71,1/H72,1/H73,1/H74,1/H75,1/H76,1/H77),0)</f>
        <v>1.1456263412291473E-2</v>
      </c>
      <c r="I65" s="73">
        <f>IFERROR(C65*Isospec!$C$26*Isospec!$F$26*SSLcm_m,".")</f>
        <v>2.016214709550965E-15</v>
      </c>
      <c r="J65" s="74">
        <f>IFERROR(D65*Isospec!$C$26*Isospec!$F$26*SSLcm_m,".")</f>
        <v>5.3796827725462595E-11</v>
      </c>
      <c r="K65" s="75">
        <f>IFERROR(E65*Isospec!$C$26*Isospec!$F$26*SSLcm_m,".")</f>
        <v>2.0161391480433692E-15</v>
      </c>
    </row>
    <row r="66" spans="1:11">
      <c r="A66" s="31" t="s">
        <v>191</v>
      </c>
      <c r="B66" s="32">
        <v>1</v>
      </c>
      <c r="C66" s="70">
        <f>IFERROR(VLOOKUP("Rn-222",$A$4:$L$32,3)/$B66,0)</f>
        <v>1903.440071379003</v>
      </c>
      <c r="D66" s="71">
        <f>IFERROR(VLOOKUP("Rn-222",$A$4:$L$32,4)/$B66,0)</f>
        <v>39423903.8290741</v>
      </c>
      <c r="E66" s="72">
        <f t="shared" ref="E66:E67" si="57">IFERROR(IF(AND(C66&lt;&gt;0,D66&lt;&gt;0),(1/((1/C66)+(1/D66))),IF(AND(C66&lt;&gt;0,D66=0),(1/(1/C66)),IF(AND(C66=0,D66&lt;&gt;0),(1/(1/D66)),0))),0)</f>
        <v>1903.3481751223051</v>
      </c>
      <c r="F66" s="70">
        <f>IFERROR(VLOOKUP("Rn-222",$A$4:$L$32,6)/$B66,0)</f>
        <v>70.427282641023183</v>
      </c>
      <c r="G66" s="71">
        <f>IFERROR(VLOOKUP("Rn-222",$A$4:$L$32,7)/$B66,0)</f>
        <v>1458684.4416757431</v>
      </c>
      <c r="H66" s="72">
        <f t="shared" ref="H66:H67" si="58">IFERROR(IF(AND(F66&lt;&gt;0,G66&lt;&gt;0),(1/((1/F66)+(1/G66))),IF(AND(F66&lt;&gt;0,G66=0),(1/(1/F66)),IF(AND(F66=0,G66&lt;&gt;0),(1/(1/G66)),0))),0)</f>
        <v>70.423882479525361</v>
      </c>
      <c r="I66" s="70">
        <f>IFERROR(VLOOKUP("Rn-222",$A$4:$L$32,9)/$B66,0)</f>
        <v>1.2394198397231256E-11</v>
      </c>
      <c r="J66" s="71">
        <f>IFERROR(VLOOKUP("Rn-222",$A$4:$L$32,10)/$B66,0)</f>
        <v>2.5670768047712093E-7</v>
      </c>
      <c r="K66" s="72">
        <f>IFERROR(VLOOKUP("Rn-222",$A$4:$L$32,11)/$B66,0)</f>
        <v>1.2393600017248295E-11</v>
      </c>
    </row>
    <row r="67" spans="1:11">
      <c r="A67" s="31" t="s">
        <v>192</v>
      </c>
      <c r="B67" s="32">
        <v>1</v>
      </c>
      <c r="C67" s="70">
        <f>IFERROR(VLOOKUP("Po-218",$A$4:$L$32,3)/$B67,0)</f>
        <v>1636.1591164740773</v>
      </c>
      <c r="D67" s="71">
        <f>IFERROR(VLOOKUP("Po-218",$A$4:$L$32,4)/$B67,0)</f>
        <v>260318143604.19159</v>
      </c>
      <c r="E67" s="72">
        <f t="shared" si="57"/>
        <v>1636.159106190443</v>
      </c>
      <c r="F67" s="70">
        <f>IFERROR(VLOOKUP("Po-218",$A$4:$L$32,6)/$B67,0)</f>
        <v>60.53788730954092</v>
      </c>
      <c r="G67" s="71">
        <f>IFERROR(VLOOKUP("Po-218",$A$4:$L$32,7)/$B67,0)</f>
        <v>9631771313.3550987</v>
      </c>
      <c r="H67" s="72">
        <f t="shared" si="58"/>
        <v>60.537886929046437</v>
      </c>
      <c r="I67" s="70">
        <f>IFERROR(VLOOKUP("Po-218",$A$4:$L$32,9)/$B67,0)</f>
        <v>5.8904218541797973E-15</v>
      </c>
      <c r="J67" s="71">
        <f>IFERROR(VLOOKUP("Po-218",$A$4:$L$32,10)/$B67,0)</f>
        <v>9.3718493921916745E-7</v>
      </c>
      <c r="K67" s="72">
        <f>IFERROR(VLOOKUP("Po-218",$A$4:$L$32,11)/$B67,0)</f>
        <v>5.8904218171571493E-15</v>
      </c>
    </row>
    <row r="68" spans="1:11">
      <c r="A68" s="31" t="s">
        <v>194</v>
      </c>
      <c r="B68" s="32">
        <v>2.0000000000000001E-4</v>
      </c>
      <c r="C68" s="70">
        <f>IFERROR(VLOOKUP("At-218",$A$4:$L$32,3)/$B68,0)</f>
        <v>0</v>
      </c>
      <c r="D68" s="71">
        <f>IFERROR(VLOOKUP("At-218",$A$4:$L$32,4)/$B68,0)</f>
        <v>3479762940015.2139</v>
      </c>
      <c r="E68" s="72">
        <f>IFERROR(IF(AND(C68&lt;&gt;0,D68&lt;&gt;0),(1/((1/C68)+(1/D68))),IF(AND(C68&lt;&gt;0,D68=0),(1/(1/C68)),IF(AND(C68=0,D68&lt;&gt;0),(1/(1/D68)),0))),0)</f>
        <v>3479762940015.2139</v>
      </c>
      <c r="F68" s="70">
        <f>IFERROR(VLOOKUP("At-218",$A$4:$L$32,6)/$B68,0)</f>
        <v>0</v>
      </c>
      <c r="G68" s="71">
        <f>IFERROR(VLOOKUP("At-218",$A$4:$L$32,7)/$B68,0)</f>
        <v>128751228780.56303</v>
      </c>
      <c r="H68" s="72">
        <f>IFERROR(IF(AND(F68&lt;&gt;0,G68&lt;&gt;0),(1/((1/F68)+(1/G68))),IF(AND(F68&lt;&gt;0,G68=0),(1/(1/F68)),IF(AND(F68=0,G68&lt;&gt;0),(1/(1/G68)),0))),0)</f>
        <v>128751228780.56302</v>
      </c>
      <c r="I68" s="70">
        <f>IFERROR(VLOOKUP("At-218",$A$4:$L$32,9)/$B68,0)</f>
        <v>0</v>
      </c>
      <c r="J68" s="71">
        <f>IFERROR(VLOOKUP("At-218",$A$4:$L$32,10)/$B68,0)</f>
        <v>1.0102964700272507E-7</v>
      </c>
      <c r="K68" s="72">
        <f>IFERROR(VLOOKUP("At-218",$A$4:$L$32,11)/$B68,0)</f>
        <v>1.0102964700272507E-7</v>
      </c>
    </row>
    <row r="69" spans="1:11">
      <c r="A69" s="31" t="s">
        <v>196</v>
      </c>
      <c r="B69" s="32">
        <v>1.9999999999999999E-7</v>
      </c>
      <c r="C69" s="70">
        <f>IFERROR(VLOOKUP("Rn-218",$A$4:$L$32,3)/$B69,0)</f>
        <v>0</v>
      </c>
      <c r="D69" s="71">
        <f>IFERROR(VLOOKUP("Rn-218",$A$4:$L$32,4)/$B69,0)</f>
        <v>100299049447497.3</v>
      </c>
      <c r="E69" s="72">
        <f>IFERROR(IF(AND(C69&lt;&gt;0,D69&lt;&gt;0),(1/((1/C69)+(1/D69))),IF(AND(C69&lt;&gt;0,D69=0),(1/(1/C69)),IF(AND(C69=0,D69&lt;&gt;0),(1/(1/D69)),0))),0)</f>
        <v>100299049447497.3</v>
      </c>
      <c r="F69" s="70">
        <f>IFERROR(VLOOKUP("Rn-218",$A$4:$L$32,6)/$B69,0)</f>
        <v>0</v>
      </c>
      <c r="G69" s="71">
        <f>IFERROR(VLOOKUP("Rn-218",$A$4:$L$32,7)/$B69,0)</f>
        <v>3711064829557.4038</v>
      </c>
      <c r="H69" s="72">
        <f>IFERROR(IF(AND(F69&lt;&gt;0,G69&lt;&gt;0),(1/((1/F69)+(1/G69))),IF(AND(F69&lt;&gt;0,G69=0),(1/(1/F69)),IF(AND(F69=0,G69&lt;&gt;0),(1/(1/G69)),0))),0)</f>
        <v>3711064829557.4038</v>
      </c>
      <c r="I69" s="70">
        <f>IFERROR(VLOOKUP("Rn-218",$A$4:$L$32,9)/$B69,0)</f>
        <v>0</v>
      </c>
      <c r="J69" s="71">
        <f>IFERROR(VLOOKUP("Rn-218",$A$4:$L$32,10)/$B69,0)</f>
        <v>6.7947390043011438E-8</v>
      </c>
      <c r="K69" s="72">
        <f>IFERROR(VLOOKUP("Rn-218",$A$4:$L$32,11)/$B69,0)</f>
        <v>6.7947390043011438E-8</v>
      </c>
    </row>
    <row r="70" spans="1:11">
      <c r="A70" s="31" t="s">
        <v>193</v>
      </c>
      <c r="B70" s="32">
        <v>0.99980000000000002</v>
      </c>
      <c r="C70" s="70">
        <f>IFERROR(VLOOKUP("Pb-214",$A$4:$L$32,3)/$B70,0)</f>
        <v>267.59713461002218</v>
      </c>
      <c r="D70" s="71">
        <f>IFERROR(VLOOKUP("Pb-214",$A$4:$L$32,4)/$B70,0)</f>
        <v>61456.75407540804</v>
      </c>
      <c r="E70" s="72">
        <f t="shared" ref="E70:E75" si="59">IFERROR(IF(AND(C70&lt;&gt;0,D70&lt;&gt;0),(1/((1/C70)+(1/D70))),IF(AND(C70&lt;&gt;0,D70=0),(1/(1/C70)),IF(AND(C70=0,D70&lt;&gt;0),(1/(1/D70)),0))),0)</f>
        <v>266.43700534097815</v>
      </c>
      <c r="F70" s="70">
        <f>IFERROR(VLOOKUP("Pb-214",$A$4:$L$32,6)/$B70,0)</f>
        <v>9.9010939805708311</v>
      </c>
      <c r="G70" s="71">
        <f>IFERROR(VLOOKUP("Pb-214",$A$4:$L$32,7)/$B70,0)</f>
        <v>2273.8999007900998</v>
      </c>
      <c r="H70" s="72">
        <f t="shared" ref="H70:H75" si="60">IFERROR(IF(AND(F70&lt;&gt;0,G70&lt;&gt;0),(1/((1/F70)+(1/G70))),IF(AND(F70&lt;&gt;0,G70=0),(1/(1/F70)),IF(AND(F70=0,G70&lt;&gt;0),(1/(1/G70)),0))),0)</f>
        <v>9.8581691976162027</v>
      </c>
      <c r="I70" s="70">
        <f>IFERROR(VLOOKUP("Pb-214",$A$4:$L$32,9)/$B70,0)</f>
        <v>8.1758459702493901E-15</v>
      </c>
      <c r="J70" s="71">
        <f>IFERROR(VLOOKUP("Pb-214",$A$4:$L$32,10)/$B70,0)</f>
        <v>1.8776768887465288E-12</v>
      </c>
      <c r="K70" s="72">
        <f>IFERROR(VLOOKUP("Pb-214",$A$4:$L$32,11)/$B70,0)</f>
        <v>8.1404007543538442E-15</v>
      </c>
    </row>
    <row r="71" spans="1:11">
      <c r="A71" s="31" t="s">
        <v>195</v>
      </c>
      <c r="B71" s="32">
        <v>0.99999979999999999</v>
      </c>
      <c r="C71" s="70">
        <f>IFERROR(VLOOKUP("Bi-214",$A$4:$L$32,3)/$B71,0)</f>
        <v>340.64303172238959</v>
      </c>
      <c r="D71" s="71">
        <f>IFERROR(VLOOKUP("Bi-214",$A$4:$L$32,4)/$B71,0)</f>
        <v>9592.5973649749139</v>
      </c>
      <c r="E71" s="72">
        <f t="shared" si="59"/>
        <v>328.96127728708944</v>
      </c>
      <c r="F71" s="70">
        <f>IFERROR(VLOOKUP("Bi-214",$A$4:$L$32,6)/$B71,0)</f>
        <v>12.603792173728426</v>
      </c>
      <c r="G71" s="71">
        <f>IFERROR(VLOOKUP("Bi-214",$A$4:$L$32,7)/$B71,0)</f>
        <v>354.92610250407216</v>
      </c>
      <c r="H71" s="72">
        <f t="shared" si="60"/>
        <v>12.171567259622321</v>
      </c>
      <c r="I71" s="70">
        <f>IFERROR(VLOOKUP("Bi-214",$A$4:$L$32,9)/$B71,0)</f>
        <v>7.7280341737068506E-15</v>
      </c>
      <c r="J71" s="71">
        <f>IFERROR(VLOOKUP("Bi-214",$A$4:$L$32,10)/$B71,0)</f>
        <v>2.1762347486253865E-13</v>
      </c>
      <c r="K71" s="72">
        <f>IFERROR(VLOOKUP("Bi-214",$A$4:$L$32,11)/$B71,0)</f>
        <v>7.4630148159692652E-15</v>
      </c>
    </row>
    <row r="72" spans="1:11">
      <c r="A72" s="31" t="s">
        <v>197</v>
      </c>
      <c r="B72" s="32">
        <v>0.99979000004200003</v>
      </c>
      <c r="C72" s="70">
        <f>IFERROR(VLOOKUP("Po-214",$A$4:$L$32,3)/$B72,0)</f>
        <v>0</v>
      </c>
      <c r="D72" s="71">
        <f>IFERROR(VLOOKUP("Po-214",$A$4:$L$32,4)/$B72,0)</f>
        <v>179520208.77392948</v>
      </c>
      <c r="E72" s="72">
        <f t="shared" si="59"/>
        <v>179520208.77392948</v>
      </c>
      <c r="F72" s="70">
        <f>IFERROR(VLOOKUP("Po-214",$A$4:$L$32,6)/$B72,0)</f>
        <v>0</v>
      </c>
      <c r="G72" s="71">
        <f>IFERROR(VLOOKUP("Po-214",$A$4:$L$32,7)/$B72,0)</f>
        <v>6642247.7246353971</v>
      </c>
      <c r="H72" s="72">
        <f t="shared" si="60"/>
        <v>6642247.7246353971</v>
      </c>
      <c r="I72" s="70">
        <f>IFERROR(VLOOKUP("Po-214",$A$4:$L$32,9)/$B72,0)</f>
        <v>0</v>
      </c>
      <c r="J72" s="71">
        <f>IFERROR(VLOOKUP("Po-214",$A$4:$L$32,10)/$B72,0)</f>
        <v>5.6042320030100995E-16</v>
      </c>
      <c r="K72" s="72">
        <f>IFERROR(VLOOKUP("Po-214",$A$4:$L$32,11)/$B72,0)</f>
        <v>5.6042320030100995E-16</v>
      </c>
    </row>
    <row r="73" spans="1:11">
      <c r="A73" s="31" t="s">
        <v>198</v>
      </c>
      <c r="B73" s="32">
        <v>2.0999995799999999E-4</v>
      </c>
      <c r="C73" s="70">
        <f>IFERROR(VLOOKUP("Tl-210",$A$4:$L$32,3)/$B73,0)</f>
        <v>0</v>
      </c>
      <c r="D73" s="71">
        <f>IFERROR(VLOOKUP("Tl-210",$A$4:$L$32,4)/$B73,0)</f>
        <v>24604389.34522786</v>
      </c>
      <c r="E73" s="72">
        <f t="shared" si="59"/>
        <v>24604389.34522786</v>
      </c>
      <c r="F73" s="70">
        <f>IFERROR(VLOOKUP("Tl-210",$A$4:$L$32,6)/$B73,0)</f>
        <v>0</v>
      </c>
      <c r="G73" s="71">
        <f>IFERROR(VLOOKUP("Tl-210",$A$4:$L$32,7)/$B73,0)</f>
        <v>910362.40577343176</v>
      </c>
      <c r="H73" s="72">
        <f t="shared" si="60"/>
        <v>910362.40577343164</v>
      </c>
      <c r="I73" s="70">
        <f>IFERROR(VLOOKUP("Tl-210",$A$4:$L$32,9)/$B73,0)</f>
        <v>0</v>
      </c>
      <c r="J73" s="71">
        <f>IFERROR(VLOOKUP("Tl-210",$A$4:$L$32,10)/$B73,0)</f>
        <v>3.5783095919885634E-11</v>
      </c>
      <c r="K73" s="72">
        <f>IFERROR(VLOOKUP("Tl-210",$A$4:$L$32,11)/$B73,0)</f>
        <v>3.5783095919885634E-11</v>
      </c>
    </row>
    <row r="74" spans="1:11">
      <c r="A74" s="31" t="s">
        <v>199</v>
      </c>
      <c r="B74" s="32">
        <v>1</v>
      </c>
      <c r="C74" s="70">
        <f>IFERROR(VLOOKUP("Pb-210",$A$4:$L$32,3)/$B74,0)</f>
        <v>0.55880652895578264</v>
      </c>
      <c r="D74" s="71">
        <f>IFERROR(VLOOKUP("Pb-210",$A$4:$L$32,4)/$B74,0)</f>
        <v>14480542.170763943</v>
      </c>
      <c r="E74" s="72">
        <f t="shared" si="59"/>
        <v>0.55880650739134663</v>
      </c>
      <c r="F74" s="70">
        <f>IFERROR(VLOOKUP("Pb-210",$A$4:$L$32,6)/$B74,0)</f>
        <v>2.0675841571363977E-2</v>
      </c>
      <c r="G74" s="71">
        <f>IFERROR(VLOOKUP("Pb-210",$A$4:$L$32,7)/$B74,0)</f>
        <v>535780.06031826639</v>
      </c>
      <c r="H74" s="72">
        <f t="shared" si="60"/>
        <v>2.0675840773479844E-2</v>
      </c>
      <c r="I74" s="70">
        <f>IFERROR(VLOOKUP("Pb-210",$A$4:$L$32,9)/$B74,0)</f>
        <v>7.2944369063772043E-12</v>
      </c>
      <c r="J74" s="71">
        <f>IFERROR(VLOOKUP("Pb-210",$A$4:$L$32,10)/$B74,0)</f>
        <v>1.8902320528028422E-4</v>
      </c>
      <c r="K74" s="72">
        <f>IFERROR(VLOOKUP("Pb-210",$A$4:$L$32,11)/$B74,0)</f>
        <v>7.294436624883682E-12</v>
      </c>
    </row>
    <row r="75" spans="1:11">
      <c r="A75" s="31" t="s">
        <v>200</v>
      </c>
      <c r="B75" s="32">
        <v>1</v>
      </c>
      <c r="C75" s="70">
        <f>IFERROR(VLOOKUP("Bi-210",$A$4:$L$32,3)/$B75,0)</f>
        <v>23.079475134269657</v>
      </c>
      <c r="D75" s="71">
        <f>IFERROR(VLOOKUP("Bi-210",$A$4:$L$32,4)/$B75,0)</f>
        <v>2643540.8381510922</v>
      </c>
      <c r="E75" s="72">
        <f t="shared" si="59"/>
        <v>23.0792736403058</v>
      </c>
      <c r="F75" s="70">
        <f>IFERROR(VLOOKUP("Bi-210",$A$4:$L$32,6)/$B75,0)</f>
        <v>0.85394057996797823</v>
      </c>
      <c r="G75" s="71">
        <f>IFERROR(VLOOKUP("Bi-210",$A$4:$L$32,7)/$B75,0)</f>
        <v>97811.011011590512</v>
      </c>
      <c r="H75" s="72">
        <f t="shared" si="60"/>
        <v>0.85393312469131566</v>
      </c>
      <c r="I75" s="70">
        <f>IFERROR(VLOOKUP("Bi-210",$A$4:$L$32,9)/$B75,0)</f>
        <v>1.8638377096623791E-13</v>
      </c>
      <c r="J75" s="71">
        <f>IFERROR(VLOOKUP("Bi-210",$A$4:$L$32,10)/$B75,0)</f>
        <v>2.1348540521454175E-8</v>
      </c>
      <c r="K75" s="72">
        <f>IFERROR(VLOOKUP("Bi-210",$A$4:$L$32,11)/$B75,0)</f>
        <v>1.8638214375398152E-13</v>
      </c>
    </row>
    <row r="76" spans="1:11">
      <c r="A76" s="31" t="s">
        <v>202</v>
      </c>
      <c r="B76" s="32">
        <v>1</v>
      </c>
      <c r="C76" s="70">
        <f>IFERROR(VLOOKUP("Po-210",$A$4:$L$32,3)/$B76,0)</f>
        <v>0.72000072000072002</v>
      </c>
      <c r="D76" s="71">
        <f>IFERROR(VLOOKUP("Po-210",$A$4:$L$32,4)/$B76,0)</f>
        <v>1532659632.006701</v>
      </c>
      <c r="E76" s="72">
        <f>IFERROR(IF(AND(C76&lt;&gt;0,D76&lt;&gt;0),(1/((1/C76)+(1/D76))),IF(AND(C76&lt;&gt;0,D76=0),(1/(1/C76)),IF(AND(C76=0,D76&lt;&gt;0),(1/(1/D76)),0))),0)</f>
        <v>0.7200007196624838</v>
      </c>
      <c r="F76" s="70">
        <f>IFERROR(VLOOKUP("Po-210",$A$4:$L$32,6)/$B76,0)</f>
        <v>2.6640026640026668E-2</v>
      </c>
      <c r="G76" s="71">
        <f>IFERROR(VLOOKUP("Po-210",$A$4:$L$32,7)/$B76,0)</f>
        <v>56708406.384247996</v>
      </c>
      <c r="H76" s="72">
        <f>IFERROR(IF(AND(F76&lt;&gt;0,G76&lt;&gt;0),(1/((1/F76)+(1/G76))),IF(AND(F76&lt;&gt;0,G76=0),(1/(1/F76)),IF(AND(F76=0,G76&lt;&gt;0),(1/(1/G76)),0))),0)</f>
        <v>2.6640026627511925E-2</v>
      </c>
      <c r="I76" s="70">
        <f>IFERROR(VLOOKUP("Po-210",$A$4:$L$32,9)/$B76,0)</f>
        <v>1.6050115600800394E-13</v>
      </c>
      <c r="J76" s="71">
        <f>IFERROR(VLOOKUP("Po-210",$A$4:$L$32,10)/$B76,0)</f>
        <v>3.4165749543088147E-4</v>
      </c>
      <c r="K76" s="72">
        <f>IFERROR(VLOOKUP("Po-210",$A$4:$L$32,11)/$B76,0)</f>
        <v>1.6050115593260497E-13</v>
      </c>
    </row>
    <row r="77" spans="1:11">
      <c r="A77" s="31" t="s">
        <v>201</v>
      </c>
      <c r="B77" s="34">
        <v>1.9000000000000001E-8</v>
      </c>
      <c r="C77" s="70">
        <f>IFERROR(VLOOKUP("Hg-206",$A$4:$L$32,3)/$B77,0)</f>
        <v>0</v>
      </c>
      <c r="D77" s="71">
        <f>IFERROR(VLOOKUP("Hg-206",$A$4:$L$32,4)/$B77,0)</f>
        <v>6456205379051.3232</v>
      </c>
      <c r="E77" s="72">
        <f t="shared" ref="E77:E78" si="61">IFERROR(IF(AND(C77&lt;&gt;0,D77&lt;&gt;0),(1/((1/C77)+(1/D77))),IF(AND(C77&lt;&gt;0,D77=0),(1/(1/C77)),IF(AND(C77=0,D77&lt;&gt;0),(1/(1/D77)),0))),0)</f>
        <v>6456205379051.3232</v>
      </c>
      <c r="F77" s="70">
        <f>IFERROR(VLOOKUP("Hg-206",$A$4:$L$32,6)/$B77,0)</f>
        <v>0</v>
      </c>
      <c r="G77" s="71">
        <f>IFERROR(VLOOKUP("Hg-206",$A$4:$L$32,7)/$B77,0)</f>
        <v>238879599024.89923</v>
      </c>
      <c r="H77" s="72">
        <f t="shared" ref="H77:H78" si="62">IFERROR(IF(AND(F77&lt;&gt;0,G77&lt;&gt;0),(1/((1/F77)+(1/G77))),IF(AND(F77&lt;&gt;0,G77=0),(1/(1/F77)),IF(AND(F77=0,G77&lt;&gt;0),(1/(1/G77)),0))),0)</f>
        <v>238879599024.8992</v>
      </c>
      <c r="I77" s="70">
        <f>IFERROR(VLOOKUP("Hg-206",$A$4:$L$32,9)/$B77,0)</f>
        <v>0</v>
      </c>
      <c r="J77" s="71">
        <f>IFERROR(VLOOKUP("Hg-206",$A$4:$L$32,10)/$B77,0)</f>
        <v>5.7743730956031542E-5</v>
      </c>
      <c r="K77" s="72">
        <f>IFERROR(VLOOKUP("Hg-206",$A$4:$L$32,11)/$B77,0)</f>
        <v>5.7743730956031542E-5</v>
      </c>
    </row>
    <row r="78" spans="1:11">
      <c r="A78" s="31" t="s">
        <v>203</v>
      </c>
      <c r="B78" s="32">
        <v>1.339E-6</v>
      </c>
      <c r="C78" s="70">
        <f>IFERROR(VLOOKUP("Tl-206",$A$4:$L$32,3)/$B78,0)</f>
        <v>0</v>
      </c>
      <c r="D78" s="71">
        <f>IFERROR(VLOOKUP("Tl-206",$A$4:$L$32,4)/$B78,0)</f>
        <v>1283023603544.4734</v>
      </c>
      <c r="E78" s="72">
        <f t="shared" si="61"/>
        <v>1283023603544.4734</v>
      </c>
      <c r="F78" s="70">
        <f>IFERROR(VLOOKUP("Tl-206",$A$4:$L$32,6)/$B78,0)</f>
        <v>0</v>
      </c>
      <c r="G78" s="71">
        <f>IFERROR(VLOOKUP("Tl-206",$A$4:$L$32,7)/$B78,0)</f>
        <v>47471873331.145569</v>
      </c>
      <c r="H78" s="72">
        <f t="shared" si="62"/>
        <v>47471873331.145569</v>
      </c>
      <c r="I78" s="70">
        <f>IFERROR(VLOOKUP("Tl-206",$A$4:$L$32,9)/$B78,0)</f>
        <v>0</v>
      </c>
      <c r="J78" s="71">
        <f>IFERROR(VLOOKUP("Tl-206",$A$4:$L$32,10)/$B78,0)</f>
        <v>5.9136256868392477E-6</v>
      </c>
      <c r="K78" s="72">
        <f>IFERROR(VLOOKUP("Tl-206",$A$4:$L$32,11)/$B78,0)</f>
        <v>5.9136256868392477E-6</v>
      </c>
    </row>
  </sheetData>
  <sheetProtection algorithmName="SHA-512" hashValue="5WTvmqrFjLYW8ld656JM5Eq6Y8K3qavUT5v1QLr5N5y7282qtYp3DzKCsOQG0MjYssW7HQ8MCIkZNtFltEU0Lw==" saltValue="dh/LuuXKotgn77KLbW39EQ==" spinCount="100000" sheet="1" formatCells="0" formatColumns="0" formatRows="0" insertColumns="0" insertRows="0" autoFilter="0"/>
  <autoFilter ref="A2:K78" xr:uid="{00000000-0009-0000-0000-00000C000000}"/>
  <mergeCells count="3">
    <mergeCell ref="C1:E1"/>
    <mergeCell ref="F1:H1"/>
    <mergeCell ref="I1:K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5703125" style="22" bestFit="1" customWidth="1"/>
    <col min="4" max="4" width="15.85546875" style="22" bestFit="1" customWidth="1"/>
    <col min="5" max="6" width="16.5703125" style="22" bestFit="1" customWidth="1"/>
    <col min="7" max="7" width="17.5703125" style="22" bestFit="1" customWidth="1"/>
    <col min="8" max="8" width="15.5703125" style="22" bestFit="1" customWidth="1"/>
    <col min="9" max="9" width="15.85546875" style="22" bestFit="1" customWidth="1"/>
    <col min="10" max="11" width="16.5703125" style="22" bestFit="1" customWidth="1"/>
    <col min="12" max="12" width="17.5703125" style="22" bestFit="1" customWidth="1"/>
    <col min="13" max="13" width="15.5703125" style="22" bestFit="1" customWidth="1"/>
    <col min="14" max="14" width="15.85546875" style="22" bestFit="1" customWidth="1"/>
    <col min="15" max="16" width="16.5703125" style="22" bestFit="1" customWidth="1"/>
    <col min="17" max="17" width="17.5703125" style="22" bestFit="1" customWidth="1"/>
    <col min="18" max="18" width="11.28515625" bestFit="1" customWidth="1"/>
  </cols>
  <sheetData>
    <row r="1" spans="1:18" ht="13.5" thickBot="1">
      <c r="C1" s="148" t="s">
        <v>61</v>
      </c>
      <c r="D1" s="149"/>
      <c r="E1" s="149"/>
      <c r="F1" s="149"/>
      <c r="G1" s="150"/>
      <c r="H1" s="148" t="s">
        <v>138</v>
      </c>
      <c r="I1" s="149"/>
      <c r="J1" s="149"/>
      <c r="K1" s="149"/>
      <c r="L1" s="150"/>
      <c r="M1" s="148" t="s">
        <v>139</v>
      </c>
      <c r="N1" s="149"/>
      <c r="O1" s="149"/>
      <c r="P1" s="149"/>
      <c r="Q1" s="150"/>
      <c r="R1" s="65" t="s">
        <v>252</v>
      </c>
    </row>
    <row r="2" spans="1:18">
      <c r="A2" s="11" t="s">
        <v>0</v>
      </c>
      <c r="B2" s="11" t="s">
        <v>43</v>
      </c>
      <c r="C2" s="23" t="s">
        <v>146</v>
      </c>
      <c r="D2" s="24" t="s">
        <v>147</v>
      </c>
      <c r="E2" s="24" t="s">
        <v>148</v>
      </c>
      <c r="F2" s="24" t="s">
        <v>149</v>
      </c>
      <c r="G2" s="25" t="s">
        <v>150</v>
      </c>
      <c r="H2" s="23" t="s">
        <v>146</v>
      </c>
      <c r="I2" s="24" t="s">
        <v>147</v>
      </c>
      <c r="J2" s="24" t="s">
        <v>148</v>
      </c>
      <c r="K2" s="24" t="s">
        <v>149</v>
      </c>
      <c r="L2" s="25" t="s">
        <v>150</v>
      </c>
      <c r="M2" s="23" t="s">
        <v>146</v>
      </c>
      <c r="N2" s="24" t="s">
        <v>147</v>
      </c>
      <c r="O2" s="24" t="s">
        <v>148</v>
      </c>
      <c r="P2" s="24" t="s">
        <v>149</v>
      </c>
      <c r="Q2" s="25" t="s">
        <v>150</v>
      </c>
      <c r="R2" s="66" t="s">
        <v>137</v>
      </c>
    </row>
    <row r="3" spans="1:18" ht="13.5" thickBot="1">
      <c r="B3" s="26" t="s">
        <v>44</v>
      </c>
      <c r="C3" s="27" t="s">
        <v>151</v>
      </c>
      <c r="D3" s="28" t="s">
        <v>140</v>
      </c>
      <c r="E3" s="28" t="s">
        <v>151</v>
      </c>
      <c r="F3" s="28" t="s">
        <v>151</v>
      </c>
      <c r="G3" s="29" t="s">
        <v>151</v>
      </c>
      <c r="H3" s="27" t="s">
        <v>152</v>
      </c>
      <c r="I3" s="28" t="s">
        <v>153</v>
      </c>
      <c r="J3" s="28" t="s">
        <v>152</v>
      </c>
      <c r="K3" s="28" t="s">
        <v>152</v>
      </c>
      <c r="L3" s="29" t="s">
        <v>152</v>
      </c>
      <c r="M3" s="27" t="s">
        <v>239</v>
      </c>
      <c r="N3" s="28" t="s">
        <v>142</v>
      </c>
      <c r="O3" s="28" t="s">
        <v>239</v>
      </c>
      <c r="P3" s="28" t="s">
        <v>239</v>
      </c>
      <c r="Q3" s="29" t="s">
        <v>239</v>
      </c>
      <c r="R3" s="79" t="s">
        <v>253</v>
      </c>
    </row>
    <row r="4" spans="1:18">
      <c r="A4" s="87" t="s">
        <v>23</v>
      </c>
      <c r="B4" s="12" t="s">
        <v>59</v>
      </c>
      <c r="C4" s="2">
        <f>IFERROR((s_DL)/(Doses!I2*s_GSFb*s_Fin*s_Fi*s_Fam*s_Foff*Isospec!M3*s_ETres*(1/24)*s_EFres*(1/365)),".")</f>
        <v>1571.6437969557437</v>
      </c>
      <c r="D4" s="3">
        <f>IFERROR((s_DL)/(Doses!L2*s_GSFb*s_Fin*s_Fi*s_Fam*s_Foff*Isospec!L3*s_ETres*(1/24)*s_EFres*(1/365)),".")</f>
        <v>1708.2492632561168</v>
      </c>
      <c r="E4" s="3">
        <f>IFERROR((s_DL)/(Doses!M2*s_GSFb*s_Fin*s_Fi*s_Fam*s_Foff*Isospec!N3*s_ETres*(1/24)*s_EFres*(1/365)),".")</f>
        <v>3003.2421710717972</v>
      </c>
      <c r="F4" s="3">
        <f>IFERROR((s_DL)/(Doses!N2*s_GSFb*s_Fin*s_Fi*s_Fam*s_Foff*Isospec!O3*s_ETres*(1/24)*s_EFres*(1/365)),".")</f>
        <v>1097.5648303736307</v>
      </c>
      <c r="G4" s="5">
        <f>IFERROR((s_DL)/(Doses!O2*s_GSFb*s_Fin*s_Fi*s_Fam*s_Foff*Isospec!P3*s_ETres*(1/24)*s_EFres*(1/365)),".")</f>
        <v>963.9931858300157</v>
      </c>
      <c r="H4" s="2">
        <f t="shared" ref="H4:L4" si="0">IFERROR(C4/_1_bq,".")</f>
        <v>58.150820487362573</v>
      </c>
      <c r="I4" s="3">
        <f t="shared" si="0"/>
        <v>63.205222740476387</v>
      </c>
      <c r="J4" s="3">
        <f t="shared" si="0"/>
        <v>111.11996032965661</v>
      </c>
      <c r="K4" s="3">
        <f t="shared" si="0"/>
        <v>40.609898723824379</v>
      </c>
      <c r="L4" s="5">
        <f t="shared" si="0"/>
        <v>35.667747875710617</v>
      </c>
      <c r="M4" s="2">
        <f>IFERROR(C4*Isospec!C3*Isospec!F3*s_SSLgram,".")</f>
        <v>2.7127002522798158E-8</v>
      </c>
      <c r="N4" s="3">
        <f>IFERROR(D4*Isospec!C3*Isospec!F3*s_SSLcm_m,".")</f>
        <v>2.9484850297297791E-11</v>
      </c>
      <c r="O4" s="3">
        <f>IFERROR(E4*Isospec!C3*Isospec!F3*s_SSLgram,".")</f>
        <v>5.1836782678774233E-8</v>
      </c>
      <c r="P4" s="3">
        <f>IFERROR(F4*Isospec!C3*Isospec!F3*s_SSLgram,".")</f>
        <v>1.8944269674942392E-8</v>
      </c>
      <c r="Q4" s="5">
        <f>IFERROR(G4*Isospec!C3*Isospec!F3*s_SSLgram,".")</f>
        <v>1.6638786495148457E-8</v>
      </c>
      <c r="R4" s="67">
        <f>IF(D4&lt;&gt;".",D4*2.22*100,".")</f>
        <v>379231.33644285792</v>
      </c>
    </row>
    <row r="5" spans="1:18">
      <c r="A5" s="88" t="s">
        <v>14</v>
      </c>
      <c r="B5" s="12" t="s">
        <v>44</v>
      </c>
      <c r="C5" s="2">
        <f>IFERROR((s_DL)/(Doses!I3*s_GSFb*s_Fin*s_Fi*s_Fam*s_Foff*Isospec!M4*s_ETres*(1/24)*s_EFres*(1/365)),".")</f>
        <v>1143.4103408650321</v>
      </c>
      <c r="D5" s="3">
        <f>IFERROR((s_DL)/(Doses!L3*s_GSFb*s_Fin*s_Fi*s_Fam*s_Foff*Isospec!L4*s_ETres*(1/24)*s_EFres*(1/365)),".")</f>
        <v>734.68489855786186</v>
      </c>
      <c r="E5" s="3">
        <f>IFERROR((s_DL)/(Doses!M3*s_GSFb*s_Fin*s_Fi*s_Fam*s_Foff*Isospec!N4*s_ETres*(1/24)*s_EFres*(1/365)),".")</f>
        <v>992.98587441096777</v>
      </c>
      <c r="F5" s="3">
        <f>IFERROR((s_DL)/(Doses!N3*s_GSFb*s_Fin*s_Fi*s_Fam*s_Foff*Isospec!O4*s_ETres*(1/24)*s_EFres*(1/365)),".")</f>
        <v>583.78405750967011</v>
      </c>
      <c r="G5" s="5">
        <f>IFERROR((s_DL)/(Doses!O3*s_GSFb*s_Fin*s_Fi*s_Fam*s_Foff*Isospec!P4*s_ETres*(1/24)*s_EFres*(1/365)),".")</f>
        <v>846.03823581223935</v>
      </c>
      <c r="H5" s="2">
        <f t="shared" ref="H5:L7" si="1">IFERROR(C5/_1_bq,".")</f>
        <v>42.306182612006232</v>
      </c>
      <c r="I5" s="3">
        <f t="shared" si="1"/>
        <v>27.183341246640918</v>
      </c>
      <c r="J5" s="3">
        <f t="shared" si="1"/>
        <v>36.740477353205847</v>
      </c>
      <c r="K5" s="3">
        <f t="shared" si="1"/>
        <v>21.600010127857814</v>
      </c>
      <c r="L5" s="5">
        <f t="shared" si="1"/>
        <v>31.303414725052889</v>
      </c>
      <c r="M5" s="2">
        <f>IFERROR(C5*Isospec!C4*Isospec!F4*s_SSLgram,".")</f>
        <v>3.334739794023957E-4</v>
      </c>
      <c r="N5" s="3">
        <f>IFERROR(D5*Isospec!C4*Isospec!F4*s_SSLcm_m,".")</f>
        <v>2.1426979271814649E-7</v>
      </c>
      <c r="O5" s="3">
        <f>IFERROR(E5*Isospec!C4*Isospec!F4*s_SSLgram,".")</f>
        <v>2.8960290037229958E-4</v>
      </c>
      <c r="P5" s="3">
        <f>IFERROR(F5*Isospec!C4*Isospec!F4*s_SSLgram,".")</f>
        <v>1.7025977972365245E-4</v>
      </c>
      <c r="Q5" s="5">
        <f>IFERROR(G5*Isospec!C4*Isospec!F4*s_SSLgram,".")</f>
        <v>2.4674583317958E-4</v>
      </c>
      <c r="R5" s="67">
        <f t="shared" ref="R5" si="2">IF(D5&lt;&gt;".",D5*2.22*100,".")</f>
        <v>163100.04747984535</v>
      </c>
    </row>
    <row r="6" spans="1:18">
      <c r="A6" s="87" t="s">
        <v>15</v>
      </c>
      <c r="B6" s="12" t="s">
        <v>59</v>
      </c>
      <c r="C6" s="2">
        <f>IFERROR((s_DL)/(Doses!I4*s_GSFb*s_Fin*s_Fi*s_Fam*s_Foff*Isospec!M5*s_ETres*(1/24)*s_EFres*(1/365)),".")</f>
        <v>13229471.20473511</v>
      </c>
      <c r="D6" s="3">
        <f>IFERROR((s_DL)/(Doses!L4*s_GSFb*s_Fin*s_Fi*s_Fam*s_Foff*Isospec!L5*s_ETres*(1/24)*s_EFres*(1/365)),".")</f>
        <v>50570491.360663973</v>
      </c>
      <c r="E6" s="3">
        <f>IFERROR((s_DL)/(Doses!M4*s_GSFb*s_Fin*s_Fi*s_Fam*s_Foff*Isospec!N5*s_ETres*(1/24)*s_EFres*(1/365)),".")</f>
        <v>47190570.689741537</v>
      </c>
      <c r="F6" s="3">
        <f>IFERROR((s_DL)/(Doses!N4*s_GSFb*s_Fin*s_Fi*s_Fam*s_Foff*Isospec!O5*s_ETres*(1/24)*s_EFres*(1/365)),".")</f>
        <v>17719571.028549541</v>
      </c>
      <c r="G6" s="5">
        <f>IFERROR((s_DL)/(Doses!O4*s_GSFb*s_Fin*s_Fi*s_Fam*s_Foff*Isospec!P5*s_ETres*(1/24)*s_EFres*(1/365)),".")</f>
        <v>13383957.203063864</v>
      </c>
      <c r="H6" s="2">
        <f t="shared" si="1"/>
        <v>489490.43457519956</v>
      </c>
      <c r="I6" s="3">
        <f t="shared" si="1"/>
        <v>1871108.1803445688</v>
      </c>
      <c r="J6" s="3">
        <f t="shared" si="1"/>
        <v>1746051.1155204386</v>
      </c>
      <c r="K6" s="3">
        <f t="shared" si="1"/>
        <v>655624.12805633363</v>
      </c>
      <c r="L6" s="5">
        <f t="shared" si="1"/>
        <v>495206.41651336348</v>
      </c>
      <c r="M6" s="2">
        <f>IFERROR(C6*Isospec!C5*Isospec!F5*s_SSLgram,".")</f>
        <v>8.2329630434774788E-12</v>
      </c>
      <c r="N6" s="3">
        <f>IFERROR(D6*Isospec!C5*Isospec!F5*s_SSLcm_m,".")</f>
        <v>3.1471022538967759E-14</v>
      </c>
      <c r="O6" s="3">
        <f>IFERROR(E6*Isospec!C5*Isospec!F5*s_SSLgram,".")</f>
        <v>2.9367630684300865E-11</v>
      </c>
      <c r="P6" s="3">
        <f>IFERROR(F6*Isospec!C5*Isospec!F5*s_SSLgram,".")</f>
        <v>1.1027241464655624E-11</v>
      </c>
      <c r="Q6" s="5">
        <f>IFERROR(G6*Isospec!C5*Isospec!F5*s_SSLgram,".")</f>
        <v>8.3291027527139385E-12</v>
      </c>
      <c r="R6" s="67">
        <f t="shared" ref="R6:R8" si="3">IF(D6&lt;&gt;".",D6*2.22*100,".")</f>
        <v>11226649082.067404</v>
      </c>
    </row>
    <row r="7" spans="1:18">
      <c r="A7" s="87" t="s">
        <v>16</v>
      </c>
      <c r="B7" s="89" t="s">
        <v>59</v>
      </c>
      <c r="C7" s="2" t="str">
        <f>IFERROR((s_DL)/(Doses!I5*s_GSFb*s_Fin*s_Fi*s_Fam*s_Foff*Isospec!M6*s_ETres*(1/24)*s_EFres*(1/365)),".")</f>
        <v>.</v>
      </c>
      <c r="D7" s="3" t="str">
        <f>IFERROR((s_DL)/(Doses!L5*s_GSFb*s_Fin*s_Fi*s_Fam*s_Foff*Isospec!L6*s_ETres*(1/24)*s_EFres*(1/365)),".")</f>
        <v>.</v>
      </c>
      <c r="E7" s="3" t="str">
        <f>IFERROR((s_DL)/(Doses!M5*s_GSFb*s_Fin*s_Fi*s_Fam*s_Foff*Isospec!N6*s_ETres*(1/24)*s_EFres*(1/365)),".")</f>
        <v>.</v>
      </c>
      <c r="F7" s="3" t="str">
        <f>IFERROR((s_DL)/(Doses!N5*s_GSFb*s_Fin*s_Fi*s_Fam*s_Foff*Isospec!O6*s_ETres*(1/24)*s_EFres*(1/365)),".")</f>
        <v>.</v>
      </c>
      <c r="G7" s="5" t="str">
        <f>IFERROR((s_DL)/(Doses!O5*s_GSFb*s_Fin*s_Fi*s_Fam*s_Foff*Isospec!P6*s_ETres*(1/24)*s_EFres*(1/365)),".")</f>
        <v>.</v>
      </c>
      <c r="H7" s="2" t="str">
        <f t="shared" si="1"/>
        <v>.</v>
      </c>
      <c r="I7" s="3" t="str">
        <f t="shared" si="1"/>
        <v>.</v>
      </c>
      <c r="J7" s="3" t="str">
        <f t="shared" si="1"/>
        <v>.</v>
      </c>
      <c r="K7" s="3" t="str">
        <f t="shared" si="1"/>
        <v>.</v>
      </c>
      <c r="L7" s="5" t="str">
        <f t="shared" si="1"/>
        <v>.</v>
      </c>
      <c r="M7" s="2" t="str">
        <f>IFERROR(C7*Isospec!C6*Isospec!F6*s_SSLgram,".")</f>
        <v>.</v>
      </c>
      <c r="N7" s="3" t="str">
        <f>IFERROR(D7*Isospec!C6*Isospec!F6*s_SSLcm_m,".")</f>
        <v>.</v>
      </c>
      <c r="O7" s="3" t="str">
        <f>IFERROR(E7*Isospec!C6*Isospec!F6*s_SSLgram,".")</f>
        <v>.</v>
      </c>
      <c r="P7" s="3" t="str">
        <f>IFERROR(F7*Isospec!C6*Isospec!F6*s_SSLgram,".")</f>
        <v>.</v>
      </c>
      <c r="Q7" s="5" t="str">
        <f>IFERROR(G7*Isospec!C6*Isospec!F6*s_SSLgram,".")</f>
        <v>.</v>
      </c>
      <c r="R7" s="67" t="str">
        <f t="shared" si="3"/>
        <v>.</v>
      </c>
    </row>
    <row r="8" spans="1:18">
      <c r="A8" s="87" t="s">
        <v>18</v>
      </c>
      <c r="B8" s="12" t="s">
        <v>59</v>
      </c>
      <c r="C8" s="2">
        <f>IFERROR((s_DL)/(Doses!I6*s_GSFb*s_Fin*s_Fi*s_Fam*s_Foff*Isospec!M7*s_ETres*(1/24)*s_EFres*(1/365)),".")</f>
        <v>4.6772382022125329</v>
      </c>
      <c r="D8" s="3">
        <f>IFERROR((s_DL)/(Doses!L6*s_GSFb*s_Fin*s_Fi*s_Fam*s_Foff*Isospec!L7*s_ETres*(1/24)*s_EFres*(1/365)),".")</f>
        <v>32.010772073832953</v>
      </c>
      <c r="E8" s="3">
        <f>IFERROR((s_DL)/(Doses!M6*s_GSFb*s_Fin*s_Fi*s_Fam*s_Foff*Isospec!N7*s_ETres*(1/24)*s_EFres*(1/365)),".")</f>
        <v>24.468644358758834</v>
      </c>
      <c r="F8" s="3">
        <f>IFERROR((s_DL)/(Doses!N6*s_GSFb*s_Fin*s_Fi*s_Fam*s_Foff*Isospec!O7*s_ETres*(1/24)*s_EFres*(1/365)),".")</f>
        <v>7.9316946151111756</v>
      </c>
      <c r="G8" s="5">
        <f>IFERROR((s_DL)/(Doses!O6*s_GSFb*s_Fin*s_Fi*s_Fam*s_Foff*Isospec!P7*s_ETres*(1/24)*s_EFres*(1/365)),".")</f>
        <v>6.3725847752013447</v>
      </c>
      <c r="H8" s="2">
        <f t="shared" ref="H8:L9" si="4">IFERROR(C8/_1_bq,".")</f>
        <v>0.17305781348186389</v>
      </c>
      <c r="I8" s="3">
        <f t="shared" si="4"/>
        <v>1.1843985667318204</v>
      </c>
      <c r="J8" s="3">
        <f t="shared" si="4"/>
        <v>0.90533984127407774</v>
      </c>
      <c r="K8" s="3">
        <f t="shared" si="4"/>
        <v>0.2934727007591138</v>
      </c>
      <c r="L8" s="5">
        <f t="shared" si="4"/>
        <v>0.23578563668245001</v>
      </c>
      <c r="M8" s="2">
        <f>IFERROR(C8*Isospec!C7*Isospec!F7*s_SSLgram,".")</f>
        <v>8.7115092119272467E-15</v>
      </c>
      <c r="N8" s="3">
        <f>IFERROR(D8*Isospec!C7*Isospec!F7*s_SSLcm_m,".")</f>
        <v>5.9621110524194736E-17</v>
      </c>
      <c r="O8" s="3">
        <f>IFERROR(E8*Isospec!C7*Isospec!F7*s_SSLgram,".")</f>
        <v>4.5573650842470682E-14</v>
      </c>
      <c r="P8" s="3">
        <f>IFERROR(F8*Isospec!C7*Isospec!F7*s_SSLgram,".")</f>
        <v>1.4773040781427152E-14</v>
      </c>
      <c r="Q8" s="5">
        <f>IFERROR(G8*Isospec!C7*Isospec!F7*s_SSLgram,".")</f>
        <v>1.1869147683496846E-14</v>
      </c>
      <c r="R8" s="67">
        <f t="shared" si="3"/>
        <v>7106.3914003909158</v>
      </c>
    </row>
    <row r="9" spans="1:18">
      <c r="A9" s="87" t="s">
        <v>19</v>
      </c>
      <c r="B9" s="90" t="s">
        <v>59</v>
      </c>
      <c r="C9" s="2">
        <f>IFERROR((s_DL)/(Doses!I7*s_GSFb*s_Fin*s_Fi*s_Fam*s_Foff*Isospec!M8*s_ETres*(1/24)*s_EFres*(1/365)),".")</f>
        <v>2329544549.1619167</v>
      </c>
      <c r="D9" s="3">
        <f>IFERROR((s_DL)/(Doses!L7*s_GSFb*s_Fin*s_Fi*s_Fam*s_Foff*Isospec!L8*s_ETres*(1/24)*s_EFres*(1/365)),".")</f>
        <v>306143795.49569964</v>
      </c>
      <c r="E9" s="3">
        <f>IFERROR((s_DL)/(Doses!M7*s_GSFb*s_Fin*s_Fi*s_Fam*s_Foff*Isospec!N8*s_ETres*(1/24)*s_EFres*(1/365)),".")</f>
        <v>3440114649.0533895</v>
      </c>
      <c r="F9" s="3">
        <f>IFERROR((s_DL)/(Doses!N7*s_GSFb*s_Fin*s_Fi*s_Fam*s_Foff*Isospec!O8*s_ETres*(1/24)*s_EFres*(1/365)),".")</f>
        <v>2377188904.0100951</v>
      </c>
      <c r="G9" s="5">
        <f>IFERROR((s_DL)/(Doses!O7*s_GSFb*s_Fin*s_Fi*s_Fam*s_Foff*Isospec!P8*s_ETres*(1/24)*s_EFres*(1/365)),".")</f>
        <v>2375492376.9149351</v>
      </c>
      <c r="H9" s="2">
        <f t="shared" si="4"/>
        <v>86193148.318991005</v>
      </c>
      <c r="I9" s="3">
        <f t="shared" si="4"/>
        <v>11327320.433340898</v>
      </c>
      <c r="J9" s="3">
        <f t="shared" si="4"/>
        <v>127284242.01497555</v>
      </c>
      <c r="K9" s="3">
        <f t="shared" si="4"/>
        <v>87955989.448373616</v>
      </c>
      <c r="L9" s="5">
        <f t="shared" si="4"/>
        <v>87893217.945852682</v>
      </c>
      <c r="M9" s="2">
        <f>IFERROR(C9*Isospec!C8*Isospec!F8*s_SSLgram,".")</f>
        <v>1.8812789076903001E-2</v>
      </c>
      <c r="N9" s="3">
        <f>IFERROR(D9*Isospec!C8*Isospec!F8*s_SSLcm_m,".")</f>
        <v>2.472336772411221E-6</v>
      </c>
      <c r="O9" s="3">
        <f>IFERROR(E9*Isospec!C8*Isospec!F8*s_SSLgram,".")</f>
        <v>2.7781461108476672E-2</v>
      </c>
      <c r="P9" s="3">
        <f>IFERROR(F9*Isospec!C8*Isospec!F8*s_SSLgram,".")</f>
        <v>1.919755235553889E-2</v>
      </c>
      <c r="Q9" s="5">
        <f>IFERROR(G9*Isospec!C8*Isospec!F8*s_SSLgram,".")</f>
        <v>1.9183851648928243E-2</v>
      </c>
      <c r="R9" s="67">
        <f t="shared" ref="R9:R11" si="5">IF(D9&lt;&gt;".",D9*2.22*100,".")</f>
        <v>67963922600.045326</v>
      </c>
    </row>
    <row r="10" spans="1:18">
      <c r="A10" s="87" t="s">
        <v>20</v>
      </c>
      <c r="B10" s="12" t="s">
        <v>59</v>
      </c>
      <c r="C10" s="2">
        <f>IFERROR((s_DL)/(Doses!I8*s_GSFb*s_Fin*s_Fi*s_Fam*s_Foff*Isospec!M9*s_ETres*(1/24)*s_EFres*(1/365)),".")</f>
        <v>69.923637902420722</v>
      </c>
      <c r="D10" s="3">
        <f>IFERROR((s_DL)/(Doses!L8*s_GSFb*s_Fin*s_Fi*s_Fam*s_Foff*Isospec!L9*s_ETres*(1/24)*s_EFres*(1/365)),".")</f>
        <v>287.69816142927874</v>
      </c>
      <c r="E10" s="3">
        <f>IFERROR((s_DL)/(Doses!M8*s_GSFb*s_Fin*s_Fi*s_Fam*s_Foff*Isospec!N9*s_ETres*(1/24)*s_EFres*(1/365)),".")</f>
        <v>315.18202344804695</v>
      </c>
      <c r="F10" s="3">
        <f>IFERROR((s_DL)/(Doses!N8*s_GSFb*s_Fin*s_Fi*s_Fam*s_Foff*Isospec!O9*s_ETres*(1/24)*s_EFres*(1/365)),".")</f>
        <v>104.32775155108712</v>
      </c>
      <c r="G10" s="5">
        <f>IFERROR((s_DL)/(Doses!O8*s_GSFb*s_Fin*s_Fi*s_Fam*s_Foff*Isospec!P9*s_ETres*(1/24)*s_EFres*(1/365)),".")</f>
        <v>78.966066410106407</v>
      </c>
      <c r="H10" s="2">
        <f t="shared" ref="H10:L11" si="6">IFERROR(C10/_1_bq,".")</f>
        <v>2.5871746023895694</v>
      </c>
      <c r="I10" s="3">
        <f t="shared" si="6"/>
        <v>10.644831972883324</v>
      </c>
      <c r="J10" s="3">
        <f t="shared" si="6"/>
        <v>11.661734867577749</v>
      </c>
      <c r="K10" s="3">
        <f t="shared" si="6"/>
        <v>3.8601268073902273</v>
      </c>
      <c r="L10" s="5">
        <f t="shared" si="6"/>
        <v>2.9217444571739399</v>
      </c>
      <c r="M10" s="2">
        <f>IFERROR(C10*Isospec!C9*Isospec!F9*s_SSLgram,".")</f>
        <v>3.6172280137666041E-12</v>
      </c>
      <c r="N10" s="3">
        <f>IFERROR(D10*Isospec!C9*Isospec!F9*s_SSLcm_m,".")</f>
        <v>1.4882947744844185E-14</v>
      </c>
      <c r="O10" s="3">
        <f>IFERROR(E10*Isospec!C9*Isospec!F9*s_SSLgram,".")</f>
        <v>1.6304718673861343E-11</v>
      </c>
      <c r="P10" s="3">
        <f>IFERROR(F10*Isospec!C9*Isospec!F9*s_SSLgram,".")</f>
        <v>5.3969913014324155E-12</v>
      </c>
      <c r="Q10" s="5">
        <f>IFERROR(G10*Isospec!C9*Isospec!F9*s_SSLgram,".")</f>
        <v>4.0850029564280195E-12</v>
      </c>
      <c r="R10" s="67">
        <f t="shared" si="5"/>
        <v>63868.99183729988</v>
      </c>
    </row>
    <row r="11" spans="1:18">
      <c r="A11" s="87" t="s">
        <v>21</v>
      </c>
      <c r="B11" s="90" t="s">
        <v>59</v>
      </c>
      <c r="C11" s="2">
        <f>IFERROR((s_DL)/(Doses!I9*s_GSFb*s_Fin*s_Fi*s_Fam*s_Foff*Isospec!M10*s_ETres*(1/24)*s_EFres*(1/365)),".")</f>
        <v>1.1863808604836468</v>
      </c>
      <c r="D11" s="3">
        <f>IFERROR((s_DL)/(Doses!L9*s_GSFb*s_Fin*s_Fi*s_Fam*s_Foff*Isospec!L10*s_ETres*(1/24)*s_EFres*(1/365)),".")</f>
        <v>9.5201813573244092</v>
      </c>
      <c r="E11" s="3">
        <f>IFERROR((s_DL)/(Doses!M9*s_GSFb*s_Fin*s_Fi*s_Fam*s_Foff*Isospec!N10*s_ETres*(1/24)*s_EFres*(1/365)),".")</f>
        <v>7.3265964496508786</v>
      </c>
      <c r="F11" s="3">
        <f>IFERROR((s_DL)/(Doses!N9*s_GSFb*s_Fin*s_Fi*s_Fam*s_Foff*Isospec!O10*s_ETres*(1/24)*s_EFres*(1/365)),".")</f>
        <v>2.4399918364192112</v>
      </c>
      <c r="G11" s="5">
        <f>IFERROR((s_DL)/(Doses!O9*s_GSFb*s_Fin*s_Fi*s_Fam*s_Foff*Isospec!P10*s_ETres*(1/24)*s_EFres*(1/365)),".")</f>
        <v>1.7997602538675741</v>
      </c>
      <c r="H11" s="2">
        <f t="shared" si="6"/>
        <v>4.3896091837894974E-2</v>
      </c>
      <c r="I11" s="3">
        <f t="shared" si="6"/>
        <v>0.35224671022100351</v>
      </c>
      <c r="J11" s="3">
        <f t="shared" si="6"/>
        <v>0.27108406863708279</v>
      </c>
      <c r="K11" s="3">
        <f t="shared" si="6"/>
        <v>9.0279697947510909E-2</v>
      </c>
      <c r="L11" s="5">
        <f t="shared" si="6"/>
        <v>6.6591129393100315E-2</v>
      </c>
      <c r="M11" s="2">
        <f>IFERROR(C11*Isospec!C10*Isospec!F10*s_SSLgram,".")</f>
        <v>2.6914954891316348E-14</v>
      </c>
      <c r="N11" s="3">
        <f>IFERROR(D11*Isospec!C10*Isospec!F10*s_SSLcm_m,".")</f>
        <v>2.1598060144453022E-16</v>
      </c>
      <c r="O11" s="3">
        <f>IFERROR(E11*Isospec!C10*Isospec!F10*s_SSLgram,".")</f>
        <v>1.6621560539070251E-13</v>
      </c>
      <c r="P11" s="3">
        <f>IFERROR(F11*Isospec!C10*Isospec!F10*s_SSLgram,".")</f>
        <v>5.5355132908694155E-14</v>
      </c>
      <c r="Q11" s="5">
        <f>IFERROR(G11*Isospec!C10*Isospec!F10*s_SSLgram,".")</f>
        <v>4.0830451384964439E-14</v>
      </c>
      <c r="R11" s="67">
        <f t="shared" si="5"/>
        <v>2113.480261326019</v>
      </c>
    </row>
    <row r="12" spans="1:18">
      <c r="A12" s="88" t="s">
        <v>17</v>
      </c>
      <c r="B12" s="12" t="s">
        <v>44</v>
      </c>
      <c r="C12" s="2">
        <f>IFERROR((s_DL)/(Doses!I10*s_GSFb*s_Fin*s_Fi*s_Fam*s_Foff*Isospec!M11*s_ETres*(1/24)*s_EFres*(1/365)),".")</f>
        <v>2924806367.8915334</v>
      </c>
      <c r="D12" s="3">
        <f>IFERROR((s_DL)/(Doses!L10*s_GSFb*s_Fin*s_Fi*s_Fam*s_Foff*Isospec!L11*s_ETres*(1/24)*s_EFres*(1/365)),".")</f>
        <v>4835.697182640135</v>
      </c>
      <c r="E12" s="3">
        <f>IFERROR((s_DL)/(Doses!M10*s_GSFb*s_Fin*s_Fi*s_Fam*s_Foff*Isospec!N11*s_ETres*(1/24)*s_EFres*(1/365)),".")</f>
        <v>34924.143555842304</v>
      </c>
      <c r="F12" s="3">
        <f>IFERROR((s_DL)/(Doses!N10*s_GSFb*s_Fin*s_Fi*s_Fam*s_Foff*Isospec!O11*s_ETres*(1/24)*s_EFres*(1/365)),".")</f>
        <v>20960.367870638416</v>
      </c>
      <c r="G12" s="5">
        <f>IFERROR((s_DL)/(Doses!O10*s_GSFb*s_Fin*s_Fi*s_Fam*s_Foff*Isospec!P11*s_ETres*(1/24)*s_EFres*(1/365)),".")</f>
        <v>12630.44001141588</v>
      </c>
      <c r="H12" s="2">
        <f t="shared" ref="H12:L12" si="7">IFERROR(C12/_1_bq,".")</f>
        <v>108217835.61198685</v>
      </c>
      <c r="I12" s="3">
        <f t="shared" si="7"/>
        <v>178.92079575768517</v>
      </c>
      <c r="J12" s="3">
        <f t="shared" si="7"/>
        <v>1292.1933115661666</v>
      </c>
      <c r="K12" s="3">
        <f t="shared" si="7"/>
        <v>775.53361121362218</v>
      </c>
      <c r="L12" s="5">
        <f t="shared" si="7"/>
        <v>467.32628042238804</v>
      </c>
      <c r="M12" s="2">
        <f>IFERROR(C12*Isospec!C11*Isospec!F11*s_SSLgram,".")</f>
        <v>33.846150482962813</v>
      </c>
      <c r="N12" s="3">
        <f>IFERROR(D12*Isospec!C11*Isospec!F11*s_SSLcm_m,".")</f>
        <v>5.5959169239523152E-8</v>
      </c>
      <c r="O12" s="3">
        <f>IFERROR(E12*Isospec!C11*Isospec!F11*s_SSLgram,".")</f>
        <v>4.0414566627593955E-4</v>
      </c>
      <c r="P12" s="3">
        <f>IFERROR(F12*Isospec!C11*Isospec!F11*s_SSLgram,".")</f>
        <v>2.4255546381325293E-4</v>
      </c>
      <c r="Q12" s="5">
        <f>IFERROR(G12*Isospec!C11*Isospec!F11*s_SSLgram,".")</f>
        <v>1.461607092987121E-4</v>
      </c>
      <c r="R12" s="67">
        <f t="shared" ref="R12" si="8">IF(D12&lt;&gt;".",D12*2.22*100,".")</f>
        <v>1073524.7745461101</v>
      </c>
    </row>
    <row r="13" spans="1:18">
      <c r="A13" s="87" t="s">
        <v>24</v>
      </c>
      <c r="B13" s="12" t="s">
        <v>59</v>
      </c>
      <c r="C13" s="2">
        <f>IFERROR((s_DL)/(Doses!I11*s_GSFb*s_Fin*s_Fi*s_Fam*s_Foff*Isospec!M12*s_ETres*(1/24)*s_EFres*(1/365)),".")</f>
        <v>829.96979370352585</v>
      </c>
      <c r="D13" s="3">
        <f>IFERROR((s_DL)/(Doses!L11*s_GSFb*s_Fin*s_Fi*s_Fam*s_Foff*Isospec!L12*s_ETres*(1/24)*s_EFres*(1/365)),".")</f>
        <v>2693.5402627562357</v>
      </c>
      <c r="E13" s="3">
        <f>IFERROR((s_DL)/(Doses!M11*s_GSFb*s_Fin*s_Fi*s_Fam*s_Foff*Isospec!N12*s_ETres*(1/24)*s_EFres*(1/365)),".")</f>
        <v>2428.7507956447612</v>
      </c>
      <c r="F13" s="3">
        <f>IFERROR((s_DL)/(Doses!N11*s_GSFb*s_Fin*s_Fi*s_Fam*s_Foff*Isospec!O12*s_ETres*(1/24)*s_EFres*(1/365)),".")</f>
        <v>933.80754781237988</v>
      </c>
      <c r="G13" s="5">
        <f>IFERROR((s_DL)/(Doses!O11*s_GSFb*s_Fin*s_Fi*s_Fam*s_Foff*Isospec!P12*s_ETres*(1/24)*s_EFres*(1/365)),".")</f>
        <v>793.11051482309551</v>
      </c>
      <c r="H13" s="2">
        <f t="shared" ref="H13:L13" si="9">IFERROR(C13/_1_bq,".")</f>
        <v>30.708882367030487</v>
      </c>
      <c r="I13" s="3">
        <f t="shared" si="9"/>
        <v>99.660989721980826</v>
      </c>
      <c r="J13" s="3">
        <f t="shared" si="9"/>
        <v>89.863779438856255</v>
      </c>
      <c r="K13" s="3">
        <f t="shared" si="9"/>
        <v>34.550879269058093</v>
      </c>
      <c r="L13" s="5">
        <f t="shared" si="9"/>
        <v>29.345089048454565</v>
      </c>
      <c r="M13" s="2">
        <f>IFERROR(C13*Isospec!C12*Isospec!F12*s_SSLgram,".")</f>
        <v>4.7879908882883146E-12</v>
      </c>
      <c r="N13" s="3">
        <f>IFERROR(D13*Isospec!C12*Isospec!F12*s_SSLcm_m,".")</f>
        <v>1.553869349602064E-14</v>
      </c>
      <c r="O13" s="3">
        <f>IFERROR(E13*Isospec!C12*Isospec!F12*s_SSLgram,".")</f>
        <v>1.4011156511587525E-11</v>
      </c>
      <c r="P13" s="3">
        <f>IFERROR(F13*Isospec!C12*Isospec!F12*s_SSLgram,".")</f>
        <v>5.3870177737307399E-12</v>
      </c>
      <c r="Q13" s="5">
        <f>IFERROR(G13*Isospec!C12*Isospec!F12*s_SSLgram,".")</f>
        <v>4.5753543649265739E-12</v>
      </c>
      <c r="R13" s="67">
        <f t="shared" ref="R13" si="10">IF(D13&lt;&gt;".",D13*2.22*100,".")</f>
        <v>597965.93833188433</v>
      </c>
    </row>
    <row r="14" spans="1:18">
      <c r="A14" s="87" t="s">
        <v>22</v>
      </c>
      <c r="B14" s="89" t="s">
        <v>59</v>
      </c>
      <c r="C14" s="2">
        <f>IFERROR((s_DL)/(Doses!I12*s_GSFb*s_Fin*s_Fi*s_Fam*s_Foff*Isospec!M13*s_ETres*(1/24)*s_EFres*(1/365)),".")</f>
        <v>60.262882890009251</v>
      </c>
      <c r="D14" s="3">
        <f>IFERROR((s_DL)/(Doses!L12*s_GSFb*s_Fin*s_Fi*s_Fam*s_Foff*Isospec!L13*s_ETres*(1/24)*s_EFres*(1/365)),".")</f>
        <v>196.70082850471979</v>
      </c>
      <c r="E14" s="3">
        <f>IFERROR((s_DL)/(Doses!M12*s_GSFb*s_Fin*s_Fi*s_Fam*s_Foff*Isospec!N13*s_ETres*(1/24)*s_EFres*(1/365)),".")</f>
        <v>217.33571401458775</v>
      </c>
      <c r="F14" s="3">
        <f>IFERROR((s_DL)/(Doses!N12*s_GSFb*s_Fin*s_Fi*s_Fam*s_Foff*Isospec!O13*s_ETres*(1/24)*s_EFres*(1/365)),".")</f>
        <v>78.729311297159626</v>
      </c>
      <c r="G14" s="5">
        <f>IFERROR((s_DL)/(Doses!O12*s_GSFb*s_Fin*s_Fi*s_Fam*s_Foff*Isospec!P13*s_ETres*(1/24)*s_EFres*(1/365)),".")</f>
        <v>62.878468124355294</v>
      </c>
      <c r="H14" s="2">
        <f t="shared" ref="H14:L14" si="11">IFERROR(C14/_1_bq,".")</f>
        <v>2.2297266669303446</v>
      </c>
      <c r="I14" s="3">
        <f t="shared" si="11"/>
        <v>7.2779306546746394</v>
      </c>
      <c r="J14" s="3">
        <f t="shared" si="11"/>
        <v>8.0414214185397555</v>
      </c>
      <c r="K14" s="3">
        <f t="shared" si="11"/>
        <v>2.912984517994909</v>
      </c>
      <c r="L14" s="5">
        <f t="shared" si="11"/>
        <v>2.3265033206011481</v>
      </c>
      <c r="M14" s="2">
        <f>IFERROR(C14*Isospec!C13*Isospec!F13*s_SSLgram,".")</f>
        <v>5.3898590455727632E-13</v>
      </c>
      <c r="N14" s="3">
        <f>IFERROR(D14*Isospec!C13*Isospec!F13*s_SSLcm_m,".")</f>
        <v>1.7592748453851112E-15</v>
      </c>
      <c r="O14" s="3">
        <f>IFERROR(E14*Isospec!C13*Isospec!F13*s_SSLgram,".")</f>
        <v>1.943831439736422E-12</v>
      </c>
      <c r="P14" s="3">
        <f>IFERROR(F14*Isospec!C13*Isospec!F13*s_SSLgram,".")</f>
        <v>7.0414801001340647E-13</v>
      </c>
      <c r="Q14" s="5">
        <f>IFERROR(G14*Isospec!C13*Isospec!F13*s_SSLgram,".")</f>
        <v>5.6237946798924372E-13</v>
      </c>
      <c r="R14" s="67">
        <f t="shared" ref="R14" si="12">IF(D14&lt;&gt;".",D14*2.22*100,".")</f>
        <v>43667.583928047796</v>
      </c>
    </row>
    <row r="15" spans="1:18">
      <c r="A15" s="87" t="s">
        <v>28</v>
      </c>
      <c r="B15" s="12" t="s">
        <v>59</v>
      </c>
      <c r="C15" s="2">
        <f>IFERROR((s_DL)/(Doses!I13*s_GSFb*s_Fin*s_Fi*s_Fam*s_Foff*Isospec!M14*s_ETres*(1/24)*s_EFres*(1/365)),".")</f>
        <v>497.44647621845144</v>
      </c>
      <c r="D15" s="3">
        <f>IFERROR((s_DL)/(Doses!L13*s_GSFb*s_Fin*s_Fi*s_Fam*s_Foff*Isospec!L14*s_ETres*(1/24)*s_EFres*(1/365)),".")</f>
        <v>347.34542055198807</v>
      </c>
      <c r="E15" s="3">
        <f>IFERROR((s_DL)/(Doses!M13*s_GSFb*s_Fin*s_Fi*s_Fam*s_Foff*Isospec!N14*s_ETres*(1/24)*s_EFres*(1/365)),".")</f>
        <v>756.68046972075297</v>
      </c>
      <c r="F15" s="3">
        <f>IFERROR((s_DL)/(Doses!N13*s_GSFb*s_Fin*s_Fi*s_Fam*s_Foff*Isospec!O14*s_ETres*(1/24)*s_EFres*(1/365)),".")</f>
        <v>280.38495829351143</v>
      </c>
      <c r="G15" s="5">
        <f>IFERROR((s_DL)/(Doses!O13*s_GSFb*s_Fin*s_Fi*s_Fam*s_Foff*Isospec!P14*s_ETres*(1/24)*s_EFres*(1/365)),".")</f>
        <v>264.10473334552012</v>
      </c>
      <c r="H15" s="2">
        <f t="shared" ref="H15:L15" si="13">IFERROR(C15/_1_bq,".")</f>
        <v>18.405519620082721</v>
      </c>
      <c r="I15" s="3">
        <f t="shared" si="13"/>
        <v>12.851780560423572</v>
      </c>
      <c r="J15" s="3">
        <f t="shared" si="13"/>
        <v>27.997177379667889</v>
      </c>
      <c r="K15" s="3">
        <f t="shared" si="13"/>
        <v>10.374243456859933</v>
      </c>
      <c r="L15" s="5">
        <f t="shared" si="13"/>
        <v>9.7718751337842544</v>
      </c>
      <c r="M15" s="2">
        <f>IFERROR(C15*Isospec!C14*Isospec!F14*s_SSLgram,".")</f>
        <v>0.7077461525902019</v>
      </c>
      <c r="N15" s="3">
        <f>IFERROR(D15*Isospec!C14*Isospec!F14*s_SSLcm_m,".")</f>
        <v>4.9418861479187367E-4</v>
      </c>
      <c r="O15" s="3">
        <f>IFERROR(E15*Isospec!C14*Isospec!F14*s_SSLgram,".")</f>
        <v>1.0765734944111467</v>
      </c>
      <c r="P15" s="3">
        <f>IFERROR(F15*Isospec!C14*Isospec!F14*s_SSLgram,".")</f>
        <v>0.39892005464574293</v>
      </c>
      <c r="Q15" s="5">
        <f>IFERROR(G15*Isospec!C14*Isospec!F14*s_SSLgram,".")</f>
        <v>0.37575722784709886</v>
      </c>
      <c r="R15" s="67">
        <f t="shared" ref="R15:R16" si="14">IF(D15&lt;&gt;".",D15*2.22*100,".")</f>
        <v>77110.683362541356</v>
      </c>
    </row>
    <row r="16" spans="1:18">
      <c r="A16" s="87" t="s">
        <v>29</v>
      </c>
      <c r="B16" s="12" t="s">
        <v>59</v>
      </c>
      <c r="C16" s="2">
        <f>IFERROR((s_DL)/(Doses!I14*s_GSFb*s_Fin*s_Fi*s_Fam*s_Foff*Isospec!M15*s_ETres*(1/24)*s_EFres*(1/365)),".")</f>
        <v>13.893986903412578</v>
      </c>
      <c r="D16" s="3">
        <f>IFERROR((s_DL)/(Doses!L14*s_GSFb*s_Fin*s_Fi*s_Fam*s_Foff*Isospec!L15*s_ETres*(1/24)*s_EFres*(1/365)),".")</f>
        <v>32.845488900886821</v>
      </c>
      <c r="E16" s="3">
        <f>IFERROR((s_DL)/(Doses!M14*s_GSFb*s_Fin*s_Fi*s_Fam*s_Foff*Isospec!N15*s_ETres*(1/24)*s_EFres*(1/365)),".")</f>
        <v>40.209206689807793</v>
      </c>
      <c r="F16" s="3">
        <f>IFERROR((s_DL)/(Doses!N14*s_GSFb*s_Fin*s_Fi*s_Fam*s_Foff*Isospec!O15*s_ETres*(1/24)*s_EFres*(1/365)),".")</f>
        <v>13.383411621725825</v>
      </c>
      <c r="G16" s="5">
        <f>IFERROR((s_DL)/(Doses!O14*s_GSFb*s_Fin*s_Fi*s_Fam*s_Foff*Isospec!P15*s_ETres*(1/24)*s_EFres*(1/365)),".")</f>
        <v>11.518842025306137</v>
      </c>
      <c r="H16" s="2">
        <f t="shared" ref="H16:L16" si="15">IFERROR(C16/_1_bq,".")</f>
        <v>0.5140775154262659</v>
      </c>
      <c r="I16" s="3">
        <f t="shared" si="15"/>
        <v>1.2152830893328137</v>
      </c>
      <c r="J16" s="3">
        <f t="shared" si="15"/>
        <v>1.4877406475228898</v>
      </c>
      <c r="K16" s="3">
        <f t="shared" si="15"/>
        <v>0.49518623000385603</v>
      </c>
      <c r="L16" s="5">
        <f t="shared" si="15"/>
        <v>0.42619715493632748</v>
      </c>
      <c r="M16" s="2">
        <f>IFERROR(C16*Isospec!C15*Isospec!F15*s_SSLgram,".")</f>
        <v>6.6970047694079787E-10</v>
      </c>
      <c r="N16" s="3">
        <f>IFERROR(D16*Isospec!C15*Isospec!F15*s_SSLcm_m,".")</f>
        <v>1.583176933675882E-12</v>
      </c>
      <c r="O16" s="3">
        <f>IFERROR(E16*Isospec!C15*Isospec!F15*s_SSLgram,".")</f>
        <v>1.9381135943752351E-9</v>
      </c>
      <c r="P16" s="3">
        <f>IFERROR(F16*Isospec!C15*Isospec!F15*s_SSLgram,".")</f>
        <v>6.4509036955860245E-10</v>
      </c>
      <c r="Q16" s="5">
        <f>IFERROR(G16*Isospec!C15*Isospec!F15*s_SSLgram,".")</f>
        <v>5.5521673165378508E-10</v>
      </c>
      <c r="R16" s="67">
        <f t="shared" si="14"/>
        <v>7291.6985359968749</v>
      </c>
    </row>
    <row r="17" spans="1:18">
      <c r="A17" s="87" t="s">
        <v>32</v>
      </c>
      <c r="B17" s="12" t="s">
        <v>59</v>
      </c>
      <c r="C17" s="2" t="str">
        <f>IFERROR((s_DL)/(Doses!I15*s_GSFb*s_Fin*s_Fi*s_Fam*s_Foff*Isospec!M16*s_ETres*(1/24)*s_EFres*(1/365)),".")</f>
        <v>.</v>
      </c>
      <c r="D17" s="3" t="str">
        <f>IFERROR((s_DL)/(Doses!L15*s_GSFb*s_Fin*s_Fi*s_Fam*s_Foff*Isospec!L16*s_ETres*(1/24)*s_EFres*(1/365)),".")</f>
        <v>.</v>
      </c>
      <c r="E17" s="3" t="str">
        <f>IFERROR((s_DL)/(Doses!M15*s_GSFb*s_Fin*s_Fi*s_Fam*s_Foff*Isospec!N16*s_ETres*(1/24)*s_EFres*(1/365)),".")</f>
        <v>.</v>
      </c>
      <c r="F17" s="3" t="str">
        <f>IFERROR((s_DL)/(Doses!N15*s_GSFb*s_Fin*s_Fi*s_Fam*s_Foff*Isospec!O16*s_ETres*(1/24)*s_EFres*(1/365)),".")</f>
        <v>.</v>
      </c>
      <c r="G17" s="5" t="str">
        <f>IFERROR((s_DL)/(Doses!O15*s_GSFb*s_Fin*s_Fi*s_Fam*s_Foff*Isospec!P16*s_ETres*(1/24)*s_EFres*(1/365)),".")</f>
        <v>.</v>
      </c>
      <c r="H17" s="2" t="str">
        <f t="shared" ref="H17:L19" si="16">IFERROR(C17/_1_bq,".")</f>
        <v>.</v>
      </c>
      <c r="I17" s="3" t="str">
        <f t="shared" si="16"/>
        <v>.</v>
      </c>
      <c r="J17" s="3" t="str">
        <f t="shared" si="16"/>
        <v>.</v>
      </c>
      <c r="K17" s="3" t="str">
        <f t="shared" si="16"/>
        <v>.</v>
      </c>
      <c r="L17" s="5" t="str">
        <f t="shared" si="16"/>
        <v>.</v>
      </c>
      <c r="M17" s="2" t="str">
        <f>IFERROR(C17*Isospec!C16*Isospec!F16*s_SSLgram,".")</f>
        <v>.</v>
      </c>
      <c r="N17" s="3" t="str">
        <f>IFERROR(D17*Isospec!C16*Isospec!F16*s_SSLcm_m,".")</f>
        <v>.</v>
      </c>
      <c r="O17" s="3" t="str">
        <f>IFERROR(E17*Isospec!C16*Isospec!F16*s_SSLgram,".")</f>
        <v>.</v>
      </c>
      <c r="P17" s="3" t="str">
        <f>IFERROR(F17*Isospec!C16*Isospec!F16*s_SSLgram,".")</f>
        <v>.</v>
      </c>
      <c r="Q17" s="5" t="str">
        <f>IFERROR(G17*Isospec!C16*Isospec!F16*s_SSLgram,".")</f>
        <v>.</v>
      </c>
      <c r="R17" s="67" t="str">
        <f t="shared" ref="R17:R23" si="17">IF(D17&lt;&gt;".",D17*2.22*100,".")</f>
        <v>.</v>
      </c>
    </row>
    <row r="18" spans="1:18">
      <c r="A18" s="87" t="s">
        <v>33</v>
      </c>
      <c r="B18" s="90" t="s">
        <v>59</v>
      </c>
      <c r="C18" s="2">
        <f>IFERROR((s_DL)/(Doses!I16*s_GSFb*s_Fin*s_Fi*s_Fam*s_Foff*Isospec!M17*s_ETres*(1/24)*s_EFres*(1/365)),".")</f>
        <v>51027.421298933739</v>
      </c>
      <c r="D18" s="3">
        <f>IFERROR((s_DL)/(Doses!L16*s_GSFb*s_Fin*s_Fi*s_Fam*s_Foff*Isospec!L17*s_ETres*(1/24)*s_EFres*(1/365)),".")</f>
        <v>9274.027886807824</v>
      </c>
      <c r="E18" s="3">
        <f>IFERROR((s_DL)/(Doses!M16*s_GSFb*s_Fin*s_Fi*s_Fam*s_Foff*Isospec!N17*s_ETres*(1/24)*s_EFres*(1/365)),".")</f>
        <v>36201.619477710665</v>
      </c>
      <c r="F18" s="3">
        <f>IFERROR((s_DL)/(Doses!N16*s_GSFb*s_Fin*s_Fi*s_Fam*s_Foff*Isospec!O17*s_ETres*(1/24)*s_EFres*(1/365)),".")</f>
        <v>23691.843860369183</v>
      </c>
      <c r="G18" s="5">
        <f>IFERROR((s_DL)/(Doses!O16*s_GSFb*s_Fin*s_Fi*s_Fam*s_Foff*Isospec!P17*s_ETres*(1/24)*s_EFres*(1/365)),".")</f>
        <v>24761.207919257478</v>
      </c>
      <c r="H18" s="2">
        <f t="shared" si="16"/>
        <v>1888.0145880605503</v>
      </c>
      <c r="I18" s="3">
        <f t="shared" si="16"/>
        <v>343.13903181188982</v>
      </c>
      <c r="J18" s="3">
        <f t="shared" si="16"/>
        <v>1339.459920675296</v>
      </c>
      <c r="K18" s="3">
        <f t="shared" si="16"/>
        <v>876.59822283366066</v>
      </c>
      <c r="L18" s="5">
        <f t="shared" si="16"/>
        <v>916.16469301252766</v>
      </c>
      <c r="M18" s="2">
        <f>IFERROR(C18*Isospec!C17*Isospec!F17*s_SSLgram,".")</f>
        <v>6.6609154666776135E-4</v>
      </c>
      <c r="N18" s="3">
        <f>IFERROR(D18*Isospec!C17*Isospec!F17*s_SSLcm_m,".")</f>
        <v>1.2105945042323461E-7</v>
      </c>
      <c r="O18" s="3">
        <f>IFERROR(E18*Isospec!C17*Isospec!F17*s_SSLgram,".")</f>
        <v>4.7256146001424385E-4</v>
      </c>
      <c r="P18" s="3">
        <f>IFERROR(F18*Isospec!C17*Isospec!F17*s_SSLgram,".")</f>
        <v>3.0926385301571513E-4</v>
      </c>
      <c r="Q18" s="5">
        <f>IFERROR(G18*Isospec!C17*Isospec!F17*s_SSLgram,".")</f>
        <v>3.2322290369481941E-4</v>
      </c>
      <c r="R18" s="67">
        <f t="shared" si="17"/>
        <v>2058834.190871337</v>
      </c>
    </row>
    <row r="19" spans="1:18">
      <c r="A19" s="87" t="s">
        <v>34</v>
      </c>
      <c r="B19" s="90" t="s">
        <v>59</v>
      </c>
      <c r="C19" s="2">
        <f>IFERROR((s_DL)/(Doses!I17*s_GSFb*s_Fin*s_Fi*s_Fam*s_Foff*Isospec!M18*s_ETres*(1/24)*s_EFres*(1/365)),".")</f>
        <v>13.496980845089489</v>
      </c>
      <c r="D19" s="3">
        <f>IFERROR((s_DL)/(Doses!L17*s_GSFb*s_Fin*s_Fi*s_Fam*s_Foff*Isospec!L18*s_ETres*(1/24)*s_EFres*(1/365)),".")</f>
        <v>49.949279124082111</v>
      </c>
      <c r="E19" s="3">
        <f>IFERROR((s_DL)/(Doses!M17*s_GSFb*s_Fin*s_Fi*s_Fam*s_Foff*Isospec!N18*s_ETres*(1/24)*s_EFres*(1/365)),".")</f>
        <v>48.792203288153523</v>
      </c>
      <c r="F19" s="3">
        <f>IFERROR((s_DL)/(Doses!N17*s_GSFb*s_Fin*s_Fi*s_Fam*s_Foff*Isospec!O18*s_ETres*(1/24)*s_EFres*(1/365)),".")</f>
        <v>17.523897078371331</v>
      </c>
      <c r="G19" s="5">
        <f>IFERROR((s_DL)/(Doses!O17*s_GSFb*s_Fin*s_Fi*s_Fam*s_Foff*Isospec!P18*s_ETres*(1/24)*s_EFres*(1/365)),".")</f>
        <v>13.77105793339253</v>
      </c>
      <c r="H19" s="2">
        <f t="shared" si="16"/>
        <v>0.49938829126831158</v>
      </c>
      <c r="I19" s="3">
        <f t="shared" si="16"/>
        <v>1.84812332759104</v>
      </c>
      <c r="J19" s="3">
        <f t="shared" si="16"/>
        <v>1.8053115216616822</v>
      </c>
      <c r="K19" s="3">
        <f t="shared" si="16"/>
        <v>0.64838419189973984</v>
      </c>
      <c r="L19" s="5">
        <f t="shared" si="16"/>
        <v>0.50952914353552414</v>
      </c>
      <c r="M19" s="2">
        <f>IFERROR(C19*Isospec!C18*Isospec!F18*s_SSLgram,".")</f>
        <v>4.1237077001468477E-13</v>
      </c>
      <c r="N19" s="3">
        <f>IFERROR(D19*Isospec!C18*Isospec!F18*s_SSLcm_m,".")</f>
        <v>1.5260911258957625E-15</v>
      </c>
      <c r="O19" s="3">
        <f>IFERROR(E19*Isospec!C18*Isospec!F18*s_SSLgram,".")</f>
        <v>1.4907392009798394E-12</v>
      </c>
      <c r="P19" s="3">
        <f>IFERROR(F19*Isospec!C18*Isospec!F18*s_SSLgram,".")</f>
        <v>5.3540440005108096E-13</v>
      </c>
      <c r="Q19" s="5">
        <f>IFERROR(G19*Isospec!C18*Isospec!F18*s_SSLgram,".")</f>
        <v>4.2074459681670079E-13</v>
      </c>
      <c r="R19" s="67">
        <f t="shared" si="17"/>
        <v>11088.739965546229</v>
      </c>
    </row>
    <row r="20" spans="1:18">
      <c r="A20" s="87" t="s">
        <v>36</v>
      </c>
      <c r="B20" s="90" t="s">
        <v>59</v>
      </c>
      <c r="C20" s="2">
        <f>IFERROR((s_DL)/(Doses!I18*s_GSFb*s_Fin*s_Fi*s_Fam*s_Foff*Isospec!M19*s_ETres*(1/24)*s_EFres*(1/365)),".")</f>
        <v>19634159050.967266</v>
      </c>
      <c r="D20" s="3">
        <f>IFERROR((s_DL)/(Doses!L18*s_GSFb*s_Fin*s_Fi*s_Fam*s_Foff*Isospec!L19*s_ETres*(1/24)*s_EFres*(1/365)),".")</f>
        <v>165604621688.10611</v>
      </c>
      <c r="E20" s="3">
        <f>IFERROR((s_DL)/(Doses!M18*s_GSFb*s_Fin*s_Fi*s_Fam*s_Foff*Isospec!N19*s_ETres*(1/24)*s_EFres*(1/365)),".")</f>
        <v>117346325616.99806</v>
      </c>
      <c r="F20" s="3">
        <f>IFERROR((s_DL)/(Doses!N18*s_GSFb*s_Fin*s_Fi*s_Fam*s_Foff*Isospec!O19*s_ETres*(1/24)*s_EFres*(1/365)),".")</f>
        <v>39958126190.326263</v>
      </c>
      <c r="G20" s="5">
        <f>IFERROR((s_DL)/(Doses!O18*s_GSFb*s_Fin*s_Fi*s_Fam*s_Foff*Isospec!P19*s_ETres*(1/24)*s_EFres*(1/365)),".")</f>
        <v>29305140731.717205</v>
      </c>
      <c r="H20" s="2">
        <f t="shared" ref="H20:L23" si="18">IFERROR(C20/_1_bq,".")</f>
        <v>726463884.88578963</v>
      </c>
      <c r="I20" s="3">
        <f t="shared" si="18"/>
        <v>6127371002.4599323</v>
      </c>
      <c r="J20" s="3">
        <f t="shared" si="18"/>
        <v>4341814047.8289328</v>
      </c>
      <c r="K20" s="3">
        <f t="shared" si="18"/>
        <v>1478450669.0420732</v>
      </c>
      <c r="L20" s="5">
        <f t="shared" si="18"/>
        <v>1084290207.0735376</v>
      </c>
      <c r="M20" s="2">
        <f>IFERROR(C20*Isospec!C19*Isospec!F19*s_SSLgram,".")</f>
        <v>4.3768084355833805</v>
      </c>
      <c r="N20" s="3">
        <f>IFERROR(D20*Isospec!C19*Isospec!F19*s_SSLcm_m,".")</f>
        <v>3.6916259224272177E-2</v>
      </c>
      <c r="O20" s="3">
        <f>IFERROR(E20*Isospec!C19*Isospec!F19*s_SSLgram,".")</f>
        <v>26.158614000831825</v>
      </c>
      <c r="P20" s="3">
        <f>IFERROR(F20*Isospec!C19*Isospec!F19*s_SSLgram,".")</f>
        <v>8.907387544632801</v>
      </c>
      <c r="Q20" s="5">
        <f>IFERROR(G20*Isospec!C19*Isospec!F19*s_SSLgram,".")</f>
        <v>6.5326448068179017</v>
      </c>
      <c r="R20" s="67">
        <f t="shared" si="17"/>
        <v>36764226014759.555</v>
      </c>
    </row>
    <row r="21" spans="1:18">
      <c r="A21" s="87" t="s">
        <v>37</v>
      </c>
      <c r="B21" s="12" t="s">
        <v>59</v>
      </c>
      <c r="C21" s="2">
        <f>IFERROR((s_DL)/(Doses!I19*s_GSFb*s_Fin*s_Fi*s_Fam*s_Foff*Isospec!M20*s_ETres*(1/24)*s_EFres*(1/365)),".")</f>
        <v>1280193721.7857842</v>
      </c>
      <c r="D21" s="3">
        <f>IFERROR((s_DL)/(Doses!L19*s_GSFb*s_Fin*s_Fi*s_Fam*s_Foff*Isospec!L20*s_ETres*(1/24)*s_EFres*(1/365)),".")</f>
        <v>10271160124.877478</v>
      </c>
      <c r="E21" s="3">
        <f>IFERROR((s_DL)/(Doses!M19*s_GSFb*s_Fin*s_Fi*s_Fam*s_Foff*Isospec!N20*s_ETres*(1/24)*s_EFres*(1/365)),".")</f>
        <v>7453795086.477458</v>
      </c>
      <c r="F21" s="3">
        <f>IFERROR((s_DL)/(Doses!N19*s_GSFb*s_Fin*s_Fi*s_Fam*s_Foff*Isospec!O20*s_ETres*(1/24)*s_EFres*(1/365)),".")</f>
        <v>2538518139.0775685</v>
      </c>
      <c r="G21" s="5">
        <f>IFERROR((s_DL)/(Doses!O19*s_GSFb*s_Fin*s_Fi*s_Fam*s_Foff*Isospec!P20*s_ETres*(1/24)*s_EFres*(1/365)),".")</f>
        <v>1870985692.3657694</v>
      </c>
      <c r="H21" s="2">
        <f t="shared" si="18"/>
        <v>47367167.706074066</v>
      </c>
      <c r="I21" s="3">
        <f t="shared" si="18"/>
        <v>380032924.62046707</v>
      </c>
      <c r="J21" s="3">
        <f t="shared" si="18"/>
        <v>275790418.1996662</v>
      </c>
      <c r="K21" s="3">
        <f t="shared" si="18"/>
        <v>93925171.145870134</v>
      </c>
      <c r="L21" s="5">
        <f t="shared" si="18"/>
        <v>69226470.617533535</v>
      </c>
      <c r="M21" s="2">
        <f>IFERROR(C21*Isospec!C20*Isospec!F20*s_SSLgram,".")</f>
        <v>1.016847935637603E-13</v>
      </c>
      <c r="N21" s="3">
        <f>IFERROR(D21*Isospec!C20*Isospec!F20*s_SSLcm_m,".")</f>
        <v>8.158302756723381E-16</v>
      </c>
      <c r="O21" s="3">
        <f>IFERROR(E21*Isospec!C20*Isospec!F20*s_SSLgram,".")</f>
        <v>5.9204915766791844E-13</v>
      </c>
      <c r="P21" s="3">
        <f>IFERROR(F21*Isospec!C20*Isospec!F20*s_SSLgram,".")</f>
        <v>2.0163252524773462E-13</v>
      </c>
      <c r="Q21" s="5">
        <f>IFERROR(G21*Isospec!C20*Isospec!F20*s_SSLgram,".")</f>
        <v>1.486109411812888E-13</v>
      </c>
      <c r="R21" s="67">
        <f t="shared" si="17"/>
        <v>2280197547722.8003</v>
      </c>
    </row>
    <row r="22" spans="1:18">
      <c r="A22" s="87" t="s">
        <v>38</v>
      </c>
      <c r="B22" s="90" t="s">
        <v>59</v>
      </c>
      <c r="C22" s="2">
        <f>IFERROR((s_DL)/(Doses!I20*s_GSFb*s_Fin*s_Fi*s_Fam*s_Foff*Isospec!M21*s_ETres*(1/24)*s_EFres*(1/365)),".")</f>
        <v>268250414.1269643</v>
      </c>
      <c r="D22" s="3">
        <f>IFERROR((s_DL)/(Doses!L20*s_GSFb*s_Fin*s_Fi*s_Fam*s_Foff*Isospec!L21*s_ETres*(1/24)*s_EFres*(1/365)),".")</f>
        <v>2254895525.9959869</v>
      </c>
      <c r="E22" s="3">
        <f>IFERROR((s_DL)/(Doses!M20*s_GSFb*s_Fin*s_Fi*s_Fam*s_Foff*Isospec!N21*s_ETres*(1/24)*s_EFres*(1/365)),".")</f>
        <v>1598281572.4892294</v>
      </c>
      <c r="F22" s="3">
        <f>IFERROR((s_DL)/(Doses!N20*s_GSFb*s_Fin*s_Fi*s_Fam*s_Foff*Isospec!O21*s_ETres*(1/24)*s_EFres*(1/365)),".")</f>
        <v>544867689.88385892</v>
      </c>
      <c r="G22" s="5">
        <f>IFERROR((s_DL)/(Doses!O20*s_GSFb*s_Fin*s_Fi*s_Fam*s_Foff*Isospec!P21*s_ETres*(1/24)*s_EFres*(1/365)),".")</f>
        <v>397587742.76205122</v>
      </c>
      <c r="H22" s="2">
        <f t="shared" si="18"/>
        <v>9925265.3226976898</v>
      </c>
      <c r="I22" s="3">
        <f t="shared" si="18"/>
        <v>83431134.461851597</v>
      </c>
      <c r="J22" s="3">
        <f t="shared" si="18"/>
        <v>59136418.182101548</v>
      </c>
      <c r="K22" s="3">
        <f t="shared" si="18"/>
        <v>20160104.525702801</v>
      </c>
      <c r="L22" s="5">
        <f t="shared" si="18"/>
        <v>14710746.48219591</v>
      </c>
      <c r="M22" s="2">
        <f>IFERROR(C22*Isospec!C21*Isospec!F21*s_SSLgram,".")</f>
        <v>8.3741967878625012E-13</v>
      </c>
      <c r="N22" s="3">
        <f>IFERROR(D22*Isospec!C21*Isospec!F21*s_SSLcm_m,".")</f>
        <v>7.0392953286639582E-15</v>
      </c>
      <c r="O22" s="3">
        <f>IFERROR(E22*Isospec!C21*Isospec!F21*s_SSLgram,".")</f>
        <v>4.9894888155155884E-12</v>
      </c>
      <c r="P22" s="3">
        <f>IFERROR(F22*Isospec!C21*Isospec!F21*s_SSLgram,".")</f>
        <v>1.7009588869733717E-12</v>
      </c>
      <c r="Q22" s="5">
        <f>IFERROR(G22*Isospec!C21*Isospec!F21*s_SSLgram,".")</f>
        <v>1.2411827989781264E-12</v>
      </c>
      <c r="R22" s="67">
        <f t="shared" si="17"/>
        <v>500586806771.10913</v>
      </c>
    </row>
    <row r="23" spans="1:18">
      <c r="A23" s="87" t="s">
        <v>39</v>
      </c>
      <c r="B23" s="90" t="s">
        <v>59</v>
      </c>
      <c r="C23" s="2" t="str">
        <f>IFERROR((s_DL)/(Doses!I21*s_GSFb*s_Fin*s_Fi*s_Fam*s_Foff*Isospec!M22*s_ETres*(1/24)*s_EFres*(1/365)),".")</f>
        <v>.</v>
      </c>
      <c r="D23" s="3" t="str">
        <f>IFERROR((s_DL)/(Doses!L21*s_GSFb*s_Fin*s_Fi*s_Fam*s_Foff*Isospec!L22*s_ETres*(1/24)*s_EFres*(1/365)),".")</f>
        <v>.</v>
      </c>
      <c r="E23" s="3" t="str">
        <f>IFERROR((s_DL)/(Doses!M21*s_GSFb*s_Fin*s_Fi*s_Fam*s_Foff*Isospec!N22*s_ETres*(1/24)*s_EFres*(1/365)),".")</f>
        <v>.</v>
      </c>
      <c r="F23" s="3" t="str">
        <f>IFERROR((s_DL)/(Doses!N21*s_GSFb*s_Fin*s_Fi*s_Fam*s_Foff*Isospec!O22*s_ETres*(1/24)*s_EFres*(1/365)),".")</f>
        <v>.</v>
      </c>
      <c r="G23" s="5" t="str">
        <f>IFERROR((s_DL)/(Doses!O21*s_GSFb*s_Fin*s_Fi*s_Fam*s_Foff*Isospec!P22*s_ETres*(1/24)*s_EFres*(1/365)),".")</f>
        <v>.</v>
      </c>
      <c r="H23" s="2" t="str">
        <f t="shared" si="18"/>
        <v>.</v>
      </c>
      <c r="I23" s="3" t="str">
        <f t="shared" si="18"/>
        <v>.</v>
      </c>
      <c r="J23" s="3" t="str">
        <f t="shared" si="18"/>
        <v>.</v>
      </c>
      <c r="K23" s="3" t="str">
        <f t="shared" si="18"/>
        <v>.</v>
      </c>
      <c r="L23" s="5" t="str">
        <f t="shared" si="18"/>
        <v>.</v>
      </c>
      <c r="M23" s="2" t="str">
        <f>IFERROR(C23*Isospec!C22*Isospec!F22*s_SSLgram,".")</f>
        <v>.</v>
      </c>
      <c r="N23" s="3" t="str">
        <f>IFERROR(D23*Isospec!C22*Isospec!F22*s_SSLcm_m,".")</f>
        <v>.</v>
      </c>
      <c r="O23" s="3" t="str">
        <f>IFERROR(E23*Isospec!C22*Isospec!F22*s_SSLgram,".")</f>
        <v>.</v>
      </c>
      <c r="P23" s="3" t="str">
        <f>IFERROR(F23*Isospec!C22*Isospec!F22*s_SSLgram,".")</f>
        <v>.</v>
      </c>
      <c r="Q23" s="5" t="str">
        <f>IFERROR(G23*Isospec!C22*Isospec!F22*s_SSLgram,".")</f>
        <v>.</v>
      </c>
      <c r="R23" s="67" t="str">
        <f t="shared" si="17"/>
        <v>.</v>
      </c>
    </row>
    <row r="24" spans="1:18">
      <c r="A24" s="87" t="s">
        <v>26</v>
      </c>
      <c r="B24" s="12" t="s">
        <v>59</v>
      </c>
      <c r="C24" s="2">
        <f>IFERROR((s_DL)/(Doses!I22*s_GSFb*s_Fin*s_Fi*s_Fam*s_Foff*Isospec!M23*s_ETres*(1/24)*s_EFres*(1/365)),".")</f>
        <v>2702.9654954959287</v>
      </c>
      <c r="D24" s="3">
        <f>IFERROR((s_DL)/(Doses!L22*s_GSFb*s_Fin*s_Fi*s_Fam*s_Foff*Isospec!L23*s_ETres*(1/24)*s_EFres*(1/365)),".")</f>
        <v>2104.3555748904296</v>
      </c>
      <c r="E24" s="3">
        <f>IFERROR((s_DL)/(Doses!M22*s_GSFb*s_Fin*s_Fi*s_Fam*s_Foff*Isospec!N23*s_ETres*(1/24)*s_EFres*(1/365)),".")</f>
        <v>6646.1493117219716</v>
      </c>
      <c r="F24" s="3">
        <f>IFERROR((s_DL)/(Doses!N22*s_GSFb*s_Fin*s_Fi*s_Fam*s_Foff*Isospec!O23*s_ETres*(1/24)*s_EFres*(1/365)),".")</f>
        <v>4588.7038434745573</v>
      </c>
      <c r="G24" s="5">
        <f>IFERROR((s_DL)/(Doses!O22*s_GSFb*s_Fin*s_Fi*s_Fam*s_Foff*Isospec!P23*s_ETres*(1/24)*s_EFres*(1/365)),".")</f>
        <v>5037.6066920243838</v>
      </c>
      <c r="H24" s="2">
        <f t="shared" ref="H24:L25" si="19">IFERROR(C24/_1_bq,".")</f>
        <v>100.00972333334947</v>
      </c>
      <c r="I24" s="3">
        <f t="shared" si="19"/>
        <v>77.861156270945969</v>
      </c>
      <c r="J24" s="3">
        <f t="shared" si="19"/>
        <v>245.9075245337132</v>
      </c>
      <c r="K24" s="3">
        <f t="shared" si="19"/>
        <v>169.78204220855878</v>
      </c>
      <c r="L24" s="5">
        <f t="shared" si="19"/>
        <v>186.3914476049024</v>
      </c>
      <c r="M24" s="2">
        <f>IFERROR(C24*Isospec!C23*Isospec!F23*s_SSLgram,".")</f>
        <v>6.9514348236219636E-8</v>
      </c>
      <c r="N24" s="3">
        <f>IFERROR(D24*Isospec!C23*Isospec!F23*s_SSLcm_m,".")</f>
        <v>5.4119413099990077E-11</v>
      </c>
      <c r="O24" s="3">
        <f>IFERROR(E24*Isospec!C23*Isospec!F23*s_SSLgram,".")</f>
        <v>1.7092439339488731E-7</v>
      </c>
      <c r="P24" s="3">
        <f>IFERROR(F24*Isospec!C23*Isospec!F23*s_SSLgram,".")</f>
        <v>1.1801140542108349E-7</v>
      </c>
      <c r="Q24" s="5">
        <f>IFERROR(G24*Isospec!C23*Isospec!F23*s_SSLgram,".")</f>
        <v>1.2955620278913064E-7</v>
      </c>
      <c r="R24" s="67">
        <f t="shared" ref="R24:R25" si="20">IF(D24&lt;&gt;".",D24*2.22*100,".")</f>
        <v>467166.9376256754</v>
      </c>
    </row>
    <row r="25" spans="1:18">
      <c r="A25" s="88" t="s">
        <v>27</v>
      </c>
      <c r="B25" s="90" t="s">
        <v>44</v>
      </c>
      <c r="C25" s="2">
        <f>IFERROR((s_DL)/(Doses!I23*s_GSFb*s_Fin*s_Fi*s_Fam*s_Foff*Isospec!M24*s_ETres*(1/24)*s_EFres*(1/365)),".")</f>
        <v>12472.597569173206</v>
      </c>
      <c r="D25" s="3">
        <f>IFERROR((s_DL)/(Doses!L23*s_GSFb*s_Fin*s_Fi*s_Fam*s_Foff*Isospec!L24*s_ETres*(1/24)*s_EFres*(1/365)),".")</f>
        <v>2552.1057042046191</v>
      </c>
      <c r="E25" s="3">
        <f>IFERROR((s_DL)/(Doses!M23*s_GSFb*s_Fin*s_Fi*s_Fam*s_Foff*Isospec!N24*s_ETres*(1/24)*s_EFres*(1/365)),".")</f>
        <v>1936.8293829893944</v>
      </c>
      <c r="F25" s="3">
        <f>IFERROR((s_DL)/(Doses!N23*s_GSFb*s_Fin*s_Fi*s_Fam*s_Foff*Isospec!O24*s_ETres*(1/24)*s_EFres*(1/365)),".")</f>
        <v>714.49420542973746</v>
      </c>
      <c r="G25" s="5">
        <f>IFERROR((s_DL)/(Doses!O23*s_GSFb*s_Fin*s_Fi*s_Fam*s_Foff*Isospec!P24*s_ETres*(1/24)*s_EFres*(1/365)),".")</f>
        <v>475.56626780877065</v>
      </c>
      <c r="H25" s="2">
        <f t="shared" si="19"/>
        <v>461.4861100594091</v>
      </c>
      <c r="I25" s="3">
        <f t="shared" si="19"/>
        <v>94.427911055571002</v>
      </c>
      <c r="J25" s="3">
        <f t="shared" si="19"/>
        <v>71.662687170607668</v>
      </c>
      <c r="K25" s="3">
        <f t="shared" si="19"/>
        <v>26.436285600900312</v>
      </c>
      <c r="L25" s="5">
        <f t="shared" si="19"/>
        <v>17.595951908924533</v>
      </c>
      <c r="M25" s="2">
        <f>IFERROR(C25*Isospec!C24*Isospec!F24*s_SSLgram,".")</f>
        <v>1.2628255586836489E-2</v>
      </c>
      <c r="N25" s="3">
        <f>IFERROR(D25*Isospec!C24*Isospec!F24*s_SSLcm_m,".")</f>
        <v>2.583955983393093E-6</v>
      </c>
      <c r="O25" s="3">
        <f>IFERROR(E25*Isospec!C24*Isospec!F24*s_SSLgram,".")</f>
        <v>1.9610010136891019E-3</v>
      </c>
      <c r="P25" s="3">
        <f>IFERROR(F25*Isospec!C24*Isospec!F24*s_SSLgram,".")</f>
        <v>7.234110931135005E-4</v>
      </c>
      <c r="Q25" s="5">
        <f>IFERROR(G25*Isospec!C24*Isospec!F24*s_SSLgram,".")</f>
        <v>4.8150133483102403E-4</v>
      </c>
      <c r="R25" s="67">
        <f t="shared" si="20"/>
        <v>566567.46633342549</v>
      </c>
    </row>
    <row r="26" spans="1:18">
      <c r="A26" s="87" t="s">
        <v>30</v>
      </c>
      <c r="B26" s="90" t="s">
        <v>59</v>
      </c>
      <c r="C26" s="2">
        <f>IFERROR((s_DL)/(Doses!I24*s_GSFb*s_Fin*s_Fi*s_Fam*s_Foff*Isospec!M25*s_ETres*(1/24)*s_EFres*(1/365)),".")</f>
        <v>2760473.8293878757</v>
      </c>
      <c r="D26" s="3">
        <f>IFERROR((s_DL)/(Doses!L24*s_GSFb*s_Fin*s_Fi*s_Fam*s_Foff*Isospec!L25*s_ETres*(1/24)*s_EFres*(1/365)),".")</f>
        <v>19913867.840254061</v>
      </c>
      <c r="E26" s="3">
        <f>IFERROR((s_DL)/(Doses!M24*s_GSFb*s_Fin*s_Fi*s_Fam*s_Foff*Isospec!N25*s_ETres*(1/24)*s_EFres*(1/365)),".")</f>
        <v>14451322.435009092</v>
      </c>
      <c r="F26" s="3">
        <f>IFERROR((s_DL)/(Doses!N24*s_GSFb*s_Fin*s_Fi*s_Fam*s_Foff*Isospec!O25*s_ETres*(1/24)*s_EFres*(1/365)),".")</f>
        <v>4614557.1901002349</v>
      </c>
      <c r="G26" s="5">
        <f>IFERROR((s_DL)/(Doses!O24*s_GSFb*s_Fin*s_Fi*s_Fam*s_Foff*Isospec!P25*s_ETres*(1/24)*s_EFres*(1/365)),".")</f>
        <v>3752928.7786450032</v>
      </c>
      <c r="H26" s="2">
        <f t="shared" ref="H26:L27" si="21">IFERROR(C26/_1_bq,".")</f>
        <v>102137.53168735151</v>
      </c>
      <c r="I26" s="3">
        <f t="shared" si="21"/>
        <v>736813.11008940102</v>
      </c>
      <c r="J26" s="3">
        <f t="shared" si="21"/>
        <v>534698.93009533698</v>
      </c>
      <c r="K26" s="3">
        <f t="shared" si="21"/>
        <v>170738.61603370885</v>
      </c>
      <c r="L26" s="5">
        <f t="shared" si="21"/>
        <v>138858.36480986525</v>
      </c>
      <c r="M26" s="2">
        <f>IFERROR(C26*Isospec!C25*Isospec!F25*s_SSLgram,".")</f>
        <v>1.8700774635668653E-12</v>
      </c>
      <c r="N26" s="3">
        <f>IFERROR(D26*Isospec!C25*Isospec!F25*s_SSLcm_m,".")</f>
        <v>1.3490609859817444E-14</v>
      </c>
      <c r="O26" s="3">
        <f>IFERROR(E26*Isospec!C25*Isospec!F25*s_SSLgram,".")</f>
        <v>9.790019422296588E-12</v>
      </c>
      <c r="P26" s="3">
        <f>IFERROR(F26*Isospec!C25*Isospec!F25*s_SSLgram,".")</f>
        <v>3.1261225205893238E-12</v>
      </c>
      <c r="Q26" s="5">
        <f>IFERROR(G26*Isospec!C25*Isospec!F25*s_SSLgram,".")</f>
        <v>2.5424140800030026E-12</v>
      </c>
      <c r="R26" s="67">
        <f t="shared" ref="R26:R27" si="22">IF(D26&lt;&gt;".",D26*2.22*100,".")</f>
        <v>4420878660.5364017</v>
      </c>
    </row>
    <row r="27" spans="1:18">
      <c r="A27" s="88" t="s">
        <v>31</v>
      </c>
      <c r="B27" s="90" t="s">
        <v>44</v>
      </c>
      <c r="C27" s="2">
        <f>IFERROR((s_DL)/(Doses!I25*s_GSFb*s_Fin*s_Fi*s_Fam*s_Foff*Isospec!M26*s_ETres*(1/24)*s_EFres*(1/365)),".")</f>
        <v>8872228.1879057307</v>
      </c>
      <c r="D27" s="3">
        <f>IFERROR((s_DL)/(Doses!L25*s_GSFb*s_Fin*s_Fi*s_Fam*s_Foff*Isospec!L26*s_ETres*(1/24)*s_EFres*(1/365)),".")</f>
        <v>61396323.193612874</v>
      </c>
      <c r="E27" s="3">
        <f>IFERROR((s_DL)/(Doses!M25*s_GSFb*s_Fin*s_Fi*s_Fam*s_Foff*Isospec!N26*s_ETres*(1/24)*s_EFres*(1/365)),".")</f>
        <v>46314273.378173947</v>
      </c>
      <c r="F27" s="3">
        <f>IFERROR((s_DL)/(Doses!N25*s_GSFb*s_Fin*s_Fi*s_Fam*s_Foff*Isospec!O26*s_ETres*(1/24)*s_EFres*(1/365)),".")</f>
        <v>13964191.545418082</v>
      </c>
      <c r="G27" s="5">
        <f>IFERROR((s_DL)/(Doses!O25*s_GSFb*s_Fin*s_Fi*s_Fam*s_Foff*Isospec!P26*s_ETres*(1/24)*s_EFres*(1/365)),".")</f>
        <v>9690988.9674442131</v>
      </c>
      <c r="H27" s="2">
        <f t="shared" si="21"/>
        <v>328272.44295251236</v>
      </c>
      <c r="I27" s="3">
        <f t="shared" si="21"/>
        <v>2271663.9581636786</v>
      </c>
      <c r="J27" s="3">
        <f t="shared" si="21"/>
        <v>1713628.1149924379</v>
      </c>
      <c r="K27" s="3">
        <f t="shared" si="21"/>
        <v>516675.08718046953</v>
      </c>
      <c r="L27" s="5">
        <f t="shared" si="21"/>
        <v>358566.59179543622</v>
      </c>
      <c r="M27" s="2">
        <f>IFERROR(C27*Isospec!C26*Isospec!F26*s_SSLgram,".")</f>
        <v>5.7771273201548393E-5</v>
      </c>
      <c r="N27" s="3">
        <f>IFERROR(D27*Isospec!C26*Isospec!F26*s_SSLcm_m,".")</f>
        <v>3.9978049320505814E-7</v>
      </c>
      <c r="O27" s="3">
        <f>IFERROR(E27*Isospec!C26*Isospec!F26*s_SSLgram,".")</f>
        <v>3.015741349066073E-4</v>
      </c>
      <c r="P27" s="3">
        <f>IFERROR(F27*Isospec!C26*Isospec!F26*s_SSLgram,".")</f>
        <v>9.0927454493201773E-5</v>
      </c>
      <c r="Q27" s="5">
        <f>IFERROR(G27*Isospec!C26*Isospec!F26*s_SSLgram,".")</f>
        <v>6.3102611810028861E-5</v>
      </c>
      <c r="R27" s="67">
        <f t="shared" si="22"/>
        <v>13629983748.982059</v>
      </c>
    </row>
    <row r="28" spans="1:18">
      <c r="A28" s="87" t="s">
        <v>35</v>
      </c>
      <c r="B28" s="12" t="s">
        <v>59</v>
      </c>
      <c r="C28" s="2">
        <f>IFERROR((s_DL)/(Doses!I26*s_GSFb*s_Fin*s_Fi*s_Fam*s_Foff*Isospec!M27*s_ETres*(1/24)*s_EFres*(1/365)),".")</f>
        <v>102.66506484822519</v>
      </c>
      <c r="D28" s="3">
        <f>IFERROR((s_DL)/(Doses!L26*s_GSFb*s_Fin*s_Fi*s_Fam*s_Foff*Isospec!L27*s_ETres*(1/24)*s_EFres*(1/365)),".")</f>
        <v>62.94464698389055</v>
      </c>
      <c r="E28" s="3">
        <f>IFERROR((s_DL)/(Doses!M26*s_GSFb*s_Fin*s_Fi*s_Fam*s_Foff*Isospec!N27*s_ETres*(1/24)*s_EFres*(1/365)),".")</f>
        <v>99.893934972444356</v>
      </c>
      <c r="F28" s="3">
        <f>IFERROR((s_DL)/(Doses!N26*s_GSFb*s_Fin*s_Fi*s_Fam*s_Foff*Isospec!O27*s_ETres*(1/24)*s_EFres*(1/365)),".")</f>
        <v>38.861777433830547</v>
      </c>
      <c r="G28" s="5">
        <f>IFERROR((s_DL)/(Doses!O26*s_GSFb*s_Fin*s_Fi*s_Fam*s_Foff*Isospec!P27*s_ETres*(1/24)*s_EFres*(1/365)),".")</f>
        <v>35.040924801264573</v>
      </c>
      <c r="H28" s="2">
        <f t="shared" ref="H28:L28" si="23">IFERROR(C28/_1_bq,".")</f>
        <v>3.7986073993843359</v>
      </c>
      <c r="I28" s="3">
        <f t="shared" si="23"/>
        <v>2.3289519384039528</v>
      </c>
      <c r="J28" s="3">
        <f t="shared" si="23"/>
        <v>3.6960755939804448</v>
      </c>
      <c r="K28" s="3">
        <f t="shared" si="23"/>
        <v>1.4378857650517316</v>
      </c>
      <c r="L28" s="5">
        <f t="shared" si="23"/>
        <v>1.2965142176467905</v>
      </c>
      <c r="M28" s="2">
        <f>IFERROR(C28*Isospec!C27*Isospec!F27*s_SSLgram,".")</f>
        <v>4.8318368252220578E-4</v>
      </c>
      <c r="N28" s="3">
        <f>IFERROR(D28*Isospec!C27*Isospec!F27*s_SSLcm_m,".")</f>
        <v>2.9624319012215839E-7</v>
      </c>
      <c r="O28" s="3">
        <f>IFERROR(E28*Isospec!C27*Isospec!F27*s_SSLgram,".")</f>
        <v>4.7014161470579184E-4</v>
      </c>
      <c r="P28" s="3">
        <f>IFERROR(F28*Isospec!C27*Isospec!F27*s_SSLgram,".")</f>
        <v>1.8289938020879954E-4</v>
      </c>
      <c r="Q28" s="5">
        <f>IFERROR(G28*Isospec!C27*Isospec!F27*s_SSLgram,".")</f>
        <v>1.6491688881206998E-4</v>
      </c>
      <c r="R28" s="67">
        <f t="shared" ref="R28:R31" si="24">IF(D28&lt;&gt;".",D28*2.22*100,".")</f>
        <v>13973.711630423702</v>
      </c>
    </row>
    <row r="29" spans="1:18">
      <c r="A29" s="87" t="s">
        <v>40</v>
      </c>
      <c r="B29" s="90" t="s">
        <v>59</v>
      </c>
      <c r="C29" s="2">
        <f>IFERROR((s_DL)/(Doses!I27*s_GSFb*s_Fin*s_Fi*s_Fam*s_Foff*Isospec!M28*s_ETres*(1/24)*s_EFres*(1/365)),".")</f>
        <v>1851464.2307921695</v>
      </c>
      <c r="D29" s="3">
        <f>IFERROR((s_DL)/(Doses!L27*s_GSFb*s_Fin*s_Fi*s_Fam*s_Foff*Isospec!L28*s_ETres*(1/24)*s_EFres*(1/365)),".")</f>
        <v>146780.76707293422</v>
      </c>
      <c r="E29" s="3">
        <f>IFERROR((s_DL)/(Doses!M27*s_GSFb*s_Fin*s_Fi*s_Fam*s_Foff*Isospec!N28*s_ETres*(1/24)*s_EFres*(1/365)),".")</f>
        <v>1711736.232243899</v>
      </c>
      <c r="F29" s="3">
        <f>IFERROR((s_DL)/(Doses!N27*s_GSFb*s_Fin*s_Fi*s_Fam*s_Foff*Isospec!O28*s_ETres*(1/24)*s_EFres*(1/365)),".")</f>
        <v>1549539.0835787917</v>
      </c>
      <c r="G29" s="5">
        <f>IFERROR((s_DL)/(Doses!O27*s_GSFb*s_Fin*s_Fi*s_Fam*s_Foff*Isospec!P28*s_ETres*(1/24)*s_EFres*(1/365)),".")</f>
        <v>1255072.1080168723</v>
      </c>
      <c r="H29" s="2">
        <f t="shared" ref="H29:L32" si="25">IFERROR(C29/_1_bq,".")</f>
        <v>68504.176539310341</v>
      </c>
      <c r="I29" s="3">
        <f t="shared" si="25"/>
        <v>5430.8883816985717</v>
      </c>
      <c r="J29" s="3">
        <f t="shared" si="25"/>
        <v>63334.240593024326</v>
      </c>
      <c r="K29" s="3">
        <f t="shared" si="25"/>
        <v>57332.946092415354</v>
      </c>
      <c r="L29" s="5">
        <f t="shared" si="25"/>
        <v>46437.667996624325</v>
      </c>
      <c r="M29" s="2">
        <f>IFERROR(C29*Isospec!C28*Isospec!F28*s_SSLgram,".")</f>
        <v>8.5336438107836586E-9</v>
      </c>
      <c r="N29" s="3">
        <f>IFERROR(D29*Isospec!C28*Isospec!F28*s_SSLcm_m,".")</f>
        <v>6.7653199216173637E-13</v>
      </c>
      <c r="O29" s="3">
        <f>IFERROR(E29*Isospec!C28*Isospec!F28*s_SSLgram,".")</f>
        <v>7.8896189626803512E-9</v>
      </c>
      <c r="P29" s="3">
        <f>IFERROR(F29*Isospec!C28*Isospec!F28*s_SSLgram,".")</f>
        <v>7.1420308263216302E-9</v>
      </c>
      <c r="Q29" s="5">
        <f>IFERROR(G29*Isospec!C28*Isospec!F28*s_SSLgram,".")</f>
        <v>5.7847935426129435E-9</v>
      </c>
      <c r="R29" s="67">
        <f t="shared" si="24"/>
        <v>32585330.290191401</v>
      </c>
    </row>
    <row r="30" spans="1:18">
      <c r="A30" s="87" t="s">
        <v>41</v>
      </c>
      <c r="B30" s="12" t="s">
        <v>59</v>
      </c>
      <c r="C30" s="2">
        <f>IFERROR((s_DL)/(Doses!I28*s_GSFb*s_Fin*s_Fi*s_Fam*s_Foff*Isospec!M29*s_ETres*(1/24)*s_EFres*(1/365)),".")</f>
        <v>0.43347344689063821</v>
      </c>
      <c r="D30" s="3">
        <f>IFERROR((s_DL)/(Doses!L28*s_GSFb*s_Fin*s_Fi*s_Fam*s_Foff*Isospec!L29*s_ETres*(1/24)*s_EFres*(1/365)),".")</f>
        <v>2.5331700178451664</v>
      </c>
      <c r="E30" s="3">
        <f>IFERROR((s_DL)/(Doses!M28*s_GSFb*s_Fin*s_Fi*s_Fam*s_Foff*Isospec!N29*s_ETres*(1/24)*s_EFres*(1/365)),".")</f>
        <v>2.0775092750404682</v>
      </c>
      <c r="F30" s="3">
        <f>IFERROR((s_DL)/(Doses!N28*s_GSFb*s_Fin*s_Fi*s_Fam*s_Foff*Isospec!O29*s_ETres*(1/24)*s_EFres*(1/365)),".")</f>
        <v>0.71912309338909874</v>
      </c>
      <c r="G30" s="5">
        <f>IFERROR((s_DL)/(Doses!O28*s_GSFb*s_Fin*s_Fi*s_Fam*s_Foff*Isospec!P29*s_ETres*(1/24)*s_EFres*(1/365)),".")</f>
        <v>0.52099382324718668</v>
      </c>
      <c r="H30" s="2">
        <f t="shared" si="25"/>
        <v>1.6038517534953629E-2</v>
      </c>
      <c r="I30" s="3">
        <f t="shared" si="25"/>
        <v>9.3727290660271245E-2</v>
      </c>
      <c r="J30" s="3">
        <f t="shared" si="25"/>
        <v>7.6867843176497405E-2</v>
      </c>
      <c r="K30" s="3">
        <f t="shared" si="25"/>
        <v>2.6607554455396681E-2</v>
      </c>
      <c r="L30" s="5">
        <f t="shared" si="25"/>
        <v>1.9276771460145926E-2</v>
      </c>
      <c r="M30" s="2">
        <f>IFERROR(C30*Isospec!C29*Isospec!F29*s_SSLgram,".")</f>
        <v>1.0429565766384806E-15</v>
      </c>
      <c r="N30" s="3">
        <f>IFERROR(D30*Isospec!C29*Isospec!F29*s_SSLcm_m,".")</f>
        <v>6.0949208049682108E-18</v>
      </c>
      <c r="O30" s="3">
        <f>IFERROR(E30*Isospec!C29*Isospec!F29*s_SSLgram,".")</f>
        <v>4.9985805981272765E-15</v>
      </c>
      <c r="P30" s="3">
        <f>IFERROR(F30*Isospec!C29*Isospec!F29*s_SSLgram,".")</f>
        <v>1.7302424520872469E-15</v>
      </c>
      <c r="Q30" s="5">
        <f>IFERROR(G30*Isospec!C29*Isospec!F29*s_SSLgram,".")</f>
        <v>1.2535345319104823E-15</v>
      </c>
      <c r="R30" s="67">
        <f t="shared" si="24"/>
        <v>562.36374396162705</v>
      </c>
    </row>
    <row r="31" spans="1:18">
      <c r="A31" s="87" t="s">
        <v>42</v>
      </c>
      <c r="B31" s="90" t="s">
        <v>59</v>
      </c>
      <c r="C31" s="2">
        <f>IFERROR((s_DL)/(Doses!I29*s_GSFb*s_Fin*s_Fi*s_Fam*s_Foff*Isospec!M30*s_ETres*(1/24)*s_EFres*(1/365)),".")</f>
        <v>0.26858104801913324</v>
      </c>
      <c r="D31" s="3">
        <f>IFERROR((s_DL)/(Doses!L29*s_GSFb*s_Fin*s_Fi*s_Fam*s_Foff*Isospec!L30*s_ETres*(1/24)*s_EFres*(1/365)),".")</f>
        <v>1.7727698685137827</v>
      </c>
      <c r="E31" s="3">
        <f>IFERROR((s_DL)/(Doses!M29*s_GSFb*s_Fin*s_Fi*s_Fam*s_Foff*Isospec!N30*s_ETres*(1/24)*s_EFres*(1/365)),".")</f>
        <v>1.4993191394047192</v>
      </c>
      <c r="F31" s="3">
        <f>IFERROR((s_DL)/(Doses!N29*s_GSFb*s_Fin*s_Fi*s_Fam*s_Foff*Isospec!O30*s_ETres*(1/24)*s_EFres*(1/365)),".")</f>
        <v>0.5131291142301887</v>
      </c>
      <c r="G31" s="5">
        <f>IFERROR((s_DL)/(Doses!O29*s_GSFb*s_Fin*s_Fi*s_Fam*s_Foff*Isospec!P30*s_ETres*(1/24)*s_EFres*(1/365)),".")</f>
        <v>0.37338036558152221</v>
      </c>
      <c r="H31" s="2">
        <f t="shared" si="25"/>
        <v>9.9374987767079405E-3</v>
      </c>
      <c r="I31" s="3">
        <f t="shared" si="25"/>
        <v>6.5592485135010023E-2</v>
      </c>
      <c r="J31" s="3">
        <f t="shared" si="25"/>
        <v>5.5474808157974669E-2</v>
      </c>
      <c r="K31" s="3">
        <f t="shared" si="25"/>
        <v>1.8985777226517002E-2</v>
      </c>
      <c r="L31" s="5">
        <f t="shared" si="25"/>
        <v>1.3815073526516336E-2</v>
      </c>
      <c r="M31" s="2">
        <f>IFERROR(C31*Isospec!C30*Isospec!F30*s_SSLgram,".")</f>
        <v>3.9060759723329963E-16</v>
      </c>
      <c r="N31" s="3">
        <f>IFERROR(D31*Isospec!C30*Isospec!F30*s_SSLcm_m,".")</f>
        <v>2.5782064069480879E-18</v>
      </c>
      <c r="O31" s="3">
        <f>IFERROR(E31*Isospec!C30*Isospec!F30*s_SSLgram,".")</f>
        <v>2.1805166479470124E-15</v>
      </c>
      <c r="P31" s="3">
        <f>IFERROR(F31*Isospec!C30*Isospec!F30*s_SSLgram,".")</f>
        <v>7.4626311818407587E-16</v>
      </c>
      <c r="Q31" s="5">
        <f>IFERROR(G31*Isospec!C30*Isospec!F30*s_SSLgram,".")</f>
        <v>5.4302121661056167E-16</v>
      </c>
      <c r="R31" s="67">
        <f t="shared" si="24"/>
        <v>393.55491081005977</v>
      </c>
    </row>
    <row r="32" spans="1:18">
      <c r="A32" s="87" t="s">
        <v>25</v>
      </c>
      <c r="B32" s="12" t="s">
        <v>59</v>
      </c>
      <c r="C32" s="2">
        <f>IFERROR((s_DL)/(Doses!I30*s_GSFb*s_Fin*s_Fi*s_Fam*s_Foff*Isospec!M31*s_ETres*(1/24)*s_EFres*(1/365)),".")</f>
        <v>34618.743163204781</v>
      </c>
      <c r="D32" s="3">
        <f>IFERROR((s_DL)/(Doses!L30*s_GSFb*s_Fin*s_Fi*s_Fam*s_Foff*Isospec!L31*s_ETres*(1/24)*s_EFres*(1/365)),".")</f>
        <v>197589.63308212269</v>
      </c>
      <c r="E32" s="3">
        <f>IFERROR((s_DL)/(Doses!M30*s_GSFb*s_Fin*s_Fi*s_Fam*s_Foff*Isospec!N31*s_ETres*(1/24)*s_EFres*(1/365)),".")</f>
        <v>831705.40697088535</v>
      </c>
      <c r="F32" s="3">
        <f>IFERROR((s_DL)/(Doses!N30*s_GSFb*s_Fin*s_Fi*s_Fam*s_Foff*Isospec!O31*s_ETres*(1/24)*s_EFres*(1/365)),".")</f>
        <v>282296.54560712061</v>
      </c>
      <c r="G32" s="5">
        <f>IFERROR((s_DL)/(Doses!O30*s_GSFb*s_Fin*s_Fi*s_Fam*s_Foff*Isospec!P31*s_ETres*(1/24)*s_EFres*(1/365)),".")</f>
        <v>263227.12253673334</v>
      </c>
      <c r="H32" s="2">
        <f t="shared" si="25"/>
        <v>1280.8934970385783</v>
      </c>
      <c r="I32" s="3">
        <f t="shared" si="25"/>
        <v>7310.8164240385468</v>
      </c>
      <c r="J32" s="3">
        <f t="shared" si="25"/>
        <v>30773.100057922788</v>
      </c>
      <c r="K32" s="3">
        <f t="shared" si="25"/>
        <v>10444.972187463472</v>
      </c>
      <c r="L32" s="5">
        <f t="shared" si="25"/>
        <v>9739.4035338591439</v>
      </c>
      <c r="M32" s="2">
        <f>IFERROR(C32*Isospec!C31*Isospec!F31*s_SSLgram,".")</f>
        <v>3.5955746719162276</v>
      </c>
      <c r="N32" s="3">
        <f>IFERROR(D32*Isospec!C31*Isospec!F31*s_SSLcm_m,".")</f>
        <v>2.0522070278346075E-2</v>
      </c>
      <c r="O32" s="3">
        <f>IFERROR(E32*Isospec!C31*Isospec!F31*s_SSLgram,".")</f>
        <v>86.382653515242652</v>
      </c>
      <c r="P32" s="3">
        <f>IFERROR(F32*Isospec!C31*Isospec!F31*s_SSLgram,".")</f>
        <v>29.319906403570407</v>
      </c>
      <c r="Q32" s="5">
        <f>IFERROR(G32*Isospec!C31*Isospec!F31*s_SSLgram,".")</f>
        <v>27.339316459079999</v>
      </c>
      <c r="R32" s="67">
        <f t="shared" ref="R32" si="26">IF(D32&lt;&gt;".",D32*2.22*100,".")</f>
        <v>43864898.544231236</v>
      </c>
    </row>
    <row r="33" spans="1:18">
      <c r="A33" s="30" t="s">
        <v>14</v>
      </c>
      <c r="B33" s="30" t="s">
        <v>59</v>
      </c>
      <c r="C33" s="76">
        <f>IFERROR(1/SUM(1/C34,1/C35,1/C36,1/C37,1/C38,1/C39,1/C40,1/C41,1/C42,1/C43,1/C44,1/C45),0)</f>
        <v>6.6957756413057767</v>
      </c>
      <c r="D33" s="77">
        <f t="shared" ref="D33:G33" si="27">IFERROR(1/SUM(1/D34,1/D35,1/D36,1/D37,1/D38,1/D39,1/D40,1/D41,1/D42,1/D43,1/D44,1/D45),0)</f>
        <v>15.690067011894884</v>
      </c>
      <c r="E33" s="77">
        <f t="shared" si="27"/>
        <v>19.479177719939219</v>
      </c>
      <c r="F33" s="77">
        <f t="shared" si="27"/>
        <v>6.8222918734085889</v>
      </c>
      <c r="G33" s="77">
        <f t="shared" si="27"/>
        <v>5.6949469171045797</v>
      </c>
      <c r="H33" s="76">
        <f>IFERROR(1/SUM(1/H34,1/H35,1/H36,1/H37,1/H38,1/H39,1/H40,1/H41,1/H42,1/H43,1/H44,1/H45),0)</f>
        <v>0.24774369872831406</v>
      </c>
      <c r="I33" s="77">
        <f t="shared" ref="I33:L33" si="28">IFERROR(1/SUM(1/I34,1/I35,1/I36,1/I37,1/I38,1/I39,1/I40,1/I41,1/I42,1/I43,1/I44,1/I45),0)</f>
        <v>0.58053247944011144</v>
      </c>
      <c r="J33" s="77">
        <f t="shared" si="28"/>
        <v>0.72072957563775175</v>
      </c>
      <c r="K33" s="77">
        <f t="shared" si="28"/>
        <v>0.25242479931611811</v>
      </c>
      <c r="L33" s="77">
        <f t="shared" si="28"/>
        <v>0.21071303593286955</v>
      </c>
      <c r="M33" s="20">
        <f>IFERROR(C33*VLOOKUP("Am-241",Isospec!$A$3:$R$31,3)*VLOOKUP("Am-241",Isospec!$A$3:$R$31,6)*SSLgram,".")</f>
        <v>1.9528133238699061E-6</v>
      </c>
      <c r="N33" s="19">
        <f>IFERROR(D33*VLOOKUP("Am-241",Isospec!$A$3:$R$31,3)*VLOOKUP("Am-241",Isospec!$A$3:$R$31,6)*SSLcm_m,".")</f>
        <v>4.5759854503226453E-9</v>
      </c>
      <c r="O33" s="19">
        <f>IFERROR(E33*VLOOKUP("Am-241",Isospec!$A$3:$R$31,3)*VLOOKUP("Am-241",Isospec!$A$3:$R$31,6)*SSLgram,".")</f>
        <v>5.6810741320043558E-6</v>
      </c>
      <c r="P33" s="19">
        <f>IFERROR(F33*VLOOKUP("Am-241",Isospec!$A$3:$R$31,3)*VLOOKUP("Am-241",Isospec!$A$3:$R$31,6)*SSLgram,".")</f>
        <v>1.9897116007793172E-6</v>
      </c>
      <c r="Q33" s="21">
        <f>IFERROR(G33*VLOOKUP("Am-241",Isospec!$A$3:$R$31,3)*VLOOKUP("Am-241",Isospec!$A$3:$R$31,6)*SSLgram,".")</f>
        <v>1.6609230676499898E-6</v>
      </c>
      <c r="R33" s="94">
        <f t="shared" ref="R33:R63" si="29">IF(D33&lt;&gt;".",D33*2.22*100,".")</f>
        <v>3483.1948766406649</v>
      </c>
    </row>
    <row r="34" spans="1:18">
      <c r="A34" s="31" t="s">
        <v>175</v>
      </c>
      <c r="B34" s="32">
        <v>1</v>
      </c>
      <c r="C34" s="70">
        <f>IFERROR(VLOOKUP("Am-241",$A$4:$L$32,3)/$B34,0)</f>
        <v>1143.4103408650321</v>
      </c>
      <c r="D34" s="71">
        <f>IFERROR(VLOOKUP("Am-241",$A$4:$L$32,4)/$B34,0)</f>
        <v>734.68489855786186</v>
      </c>
      <c r="E34" s="71">
        <f>IFERROR(VLOOKUP("Am-241",$A$4:$L$32,5)/$B34,0)</f>
        <v>992.98587441096777</v>
      </c>
      <c r="F34" s="71">
        <f>IFERROR(VLOOKUP("Am-241",$A$4:$L$32,6)/$B34,0)</f>
        <v>583.78405750967011</v>
      </c>
      <c r="G34" s="71">
        <f>IFERROR(VLOOKUP("Am-241",$A$4:$L$32,7)/$B34,0)</f>
        <v>846.03823581223935</v>
      </c>
      <c r="H34" s="70">
        <f>IFERROR(VLOOKUP("Am-241",$A$4:$L$32,8)/$B34,0)</f>
        <v>42.306182612006232</v>
      </c>
      <c r="I34" s="71">
        <f>IFERROR(VLOOKUP("Am-241",$A$4:$L$32,9)/$B34,0)</f>
        <v>27.183341246640918</v>
      </c>
      <c r="J34" s="71">
        <f>IFERROR(VLOOKUP("Am-241",$A$4:$L$32,10)/$B34,0)</f>
        <v>36.740477353205847</v>
      </c>
      <c r="K34" s="71">
        <f>IFERROR(VLOOKUP("Am-241",$A$4:$L$32,11)/$B34,0)</f>
        <v>21.600010127857814</v>
      </c>
      <c r="L34" s="71">
        <f>IFERROR(VLOOKUP("Am-241",$A$4:$L$32,12)/$B34,0)</f>
        <v>31.303414725052889</v>
      </c>
      <c r="M34" s="70">
        <f>IFERROR(VLOOKUP("Am-241",$A$4:$R$32,13)/$B34,0)</f>
        <v>3.334739794023957E-4</v>
      </c>
      <c r="N34" s="71">
        <f>IFERROR(VLOOKUP("Am-241",$A$4:$R$32,14)/$B34,0)</f>
        <v>2.1426979271814649E-7</v>
      </c>
      <c r="O34" s="71">
        <f>IFERROR(VLOOKUP("Am-241",$A$4:$R$32,15)/$B34,0)</f>
        <v>2.8960290037229958E-4</v>
      </c>
      <c r="P34" s="71">
        <f>IFERROR(VLOOKUP("Am-241",$A$4:$R$32,16)/$B34,0)</f>
        <v>1.7025977972365245E-4</v>
      </c>
      <c r="Q34" s="71">
        <f>IFERROR(VLOOKUP("Am-241",$A$4:$R$32,17)/$B34,0)</f>
        <v>2.4674583317958E-4</v>
      </c>
      <c r="R34" s="95">
        <f t="shared" si="29"/>
        <v>163100.04747984535</v>
      </c>
    </row>
    <row r="35" spans="1:18">
      <c r="A35" s="31" t="s">
        <v>176</v>
      </c>
      <c r="B35" s="32">
        <v>1</v>
      </c>
      <c r="C35" s="70">
        <f>IFERROR(VLOOKUP("Np-237",$A$4:$L$32,3)/$B35,0)</f>
        <v>497.44647621845144</v>
      </c>
      <c r="D35" s="71">
        <f>IFERROR(VLOOKUP("Np-237",$A$4:$L$32,4)/$B35,0)</f>
        <v>347.34542055198807</v>
      </c>
      <c r="E35" s="71">
        <f>IFERROR(VLOOKUP("Np-237",$A$4:$L$32,5)/$B35,0)</f>
        <v>756.68046972075297</v>
      </c>
      <c r="F35" s="71">
        <f>IFERROR(VLOOKUP("Np-237",$A$4:$L$32,6)/$B35,0)</f>
        <v>280.38495829351143</v>
      </c>
      <c r="G35" s="71">
        <f>IFERROR(VLOOKUP("Np-237",$A$4:$L$32,7)/$B35,0)</f>
        <v>264.10473334552012</v>
      </c>
      <c r="H35" s="70">
        <f>IFERROR(VLOOKUP("Np-237",$A$4:$L$32,8)/$B35,0)</f>
        <v>18.405519620082721</v>
      </c>
      <c r="I35" s="71">
        <f>IFERROR(VLOOKUP("Np-237",$A$4:$L$32,9)/$B35,0)</f>
        <v>12.851780560423572</v>
      </c>
      <c r="J35" s="71">
        <f>IFERROR(VLOOKUP("Np-237",$A$4:$L$32,10)/$B35,0)</f>
        <v>27.997177379667889</v>
      </c>
      <c r="K35" s="71">
        <f>IFERROR(VLOOKUP("Np-237",$A$4:$L$32,11)/$B35,0)</f>
        <v>10.374243456859933</v>
      </c>
      <c r="L35" s="71">
        <f>IFERROR(VLOOKUP("Np-237",$A$4:$L$32,12)/$B35,0)</f>
        <v>9.7718751337842544</v>
      </c>
      <c r="M35" s="70">
        <f>IFERROR(VLOOKUP("Np-237",$A$4:$R$32,13)/$B35,0)</f>
        <v>0.7077461525902019</v>
      </c>
      <c r="N35" s="71">
        <f>IFERROR(VLOOKUP("Np-237",$A$4:$R$32,14)/$B35,0)</f>
        <v>4.9418861479187367E-4</v>
      </c>
      <c r="O35" s="71">
        <f>IFERROR(VLOOKUP("Np-237",$A$4:$R$32,15)/$B35,0)</f>
        <v>1.0765734944111467</v>
      </c>
      <c r="P35" s="71">
        <f>IFERROR(VLOOKUP("Np-237",$A$4:$R$32,16)/$B35,0)</f>
        <v>0.39892005464574293</v>
      </c>
      <c r="Q35" s="71">
        <f>IFERROR(VLOOKUP("Np-237",$A$4:$R$32,17)/$B35,0)</f>
        <v>0.37575722784709886</v>
      </c>
      <c r="R35" s="95">
        <f t="shared" si="29"/>
        <v>77110.683362541356</v>
      </c>
    </row>
    <row r="36" spans="1:18">
      <c r="A36" s="31" t="s">
        <v>177</v>
      </c>
      <c r="B36" s="32">
        <v>1</v>
      </c>
      <c r="C36" s="70">
        <f>IFERROR(VLOOKUP("Pa-233",$A$4:$L$32,3)/$B36,0)</f>
        <v>13.893986903412578</v>
      </c>
      <c r="D36" s="71">
        <f>IFERROR(VLOOKUP("Pa-233",$A$4:$L$32,4)/$B36,0)</f>
        <v>32.845488900886821</v>
      </c>
      <c r="E36" s="71">
        <f>IFERROR(VLOOKUP("Pa-233",$A$4:$L$32,5)/$B36,0)</f>
        <v>40.209206689807793</v>
      </c>
      <c r="F36" s="71">
        <f>IFERROR(VLOOKUP("Pa-233",$A$4:$L$32,6)/$B36,0)</f>
        <v>13.383411621725825</v>
      </c>
      <c r="G36" s="71">
        <f>IFERROR(VLOOKUP("Pa-233",$A$4:$L$32,7)/$B36,0)</f>
        <v>11.518842025306137</v>
      </c>
      <c r="H36" s="70">
        <f>IFERROR(VLOOKUP("Pa-233",$A$4:$L$32,8)/$B36,0)</f>
        <v>0.5140775154262659</v>
      </c>
      <c r="I36" s="71">
        <f>IFERROR(VLOOKUP("Pa-233",$A$4:$L$32,9)/$B36,0)</f>
        <v>1.2152830893328137</v>
      </c>
      <c r="J36" s="71">
        <f>IFERROR(VLOOKUP("Pa-233",$A$4:$L$32,10)/$B36,0)</f>
        <v>1.4877406475228898</v>
      </c>
      <c r="K36" s="71">
        <f>IFERROR(VLOOKUP("Pa-233",$A$4:$L$32,11)/$B36,0)</f>
        <v>0.49518623000385603</v>
      </c>
      <c r="L36" s="71">
        <f>IFERROR(VLOOKUP("Pa-233",$A$4:$L$32,12)/$B36,0)</f>
        <v>0.42619715493632748</v>
      </c>
      <c r="M36" s="70">
        <f>IFERROR(VLOOKUP("Pa-233",$A$4:$R$32,13)/$B36,0)</f>
        <v>6.6970047694079787E-10</v>
      </c>
      <c r="N36" s="71">
        <f>IFERROR(VLOOKUP("Pa-233",$A$4:$R$32,14)/$B36,0)</f>
        <v>1.583176933675882E-12</v>
      </c>
      <c r="O36" s="71">
        <f>IFERROR(VLOOKUP("Pa-233",$A$4:$R$32,15)/$B36,0)</f>
        <v>1.9381135943752351E-9</v>
      </c>
      <c r="P36" s="71">
        <f>IFERROR(VLOOKUP("Pa-233",$A$4:$R$32,16)/$B36,0)</f>
        <v>6.4509036955860245E-10</v>
      </c>
      <c r="Q36" s="71">
        <f>IFERROR(VLOOKUP("Pa-233",$A$4:$R$32,17)/$B36,0)</f>
        <v>5.5521673165378508E-10</v>
      </c>
      <c r="R36" s="95">
        <f t="shared" si="29"/>
        <v>7291.6985359968749</v>
      </c>
    </row>
    <row r="37" spans="1:18">
      <c r="A37" s="31" t="s">
        <v>178</v>
      </c>
      <c r="B37" s="32">
        <v>1</v>
      </c>
      <c r="C37" s="70">
        <f>IFERROR(VLOOKUP("U-233",$A$4:$L$32,3)/$B37,0)</f>
        <v>34618.743163204781</v>
      </c>
      <c r="D37" s="71">
        <f>IFERROR(VLOOKUP("U-233",$A$4:$L$32,4)/$B37,0)</f>
        <v>197589.63308212269</v>
      </c>
      <c r="E37" s="71">
        <f>IFERROR(VLOOKUP("U-233",$A$4:$L$32,5)/$B37,0)</f>
        <v>831705.40697088535</v>
      </c>
      <c r="F37" s="71">
        <f>IFERROR(VLOOKUP("U-233",$A$4:$L$32,6)/$B37,0)</f>
        <v>282296.54560712061</v>
      </c>
      <c r="G37" s="71">
        <f>IFERROR(VLOOKUP("U-233",$A$4:$L$32,7)/$B37,0)</f>
        <v>263227.12253673334</v>
      </c>
      <c r="H37" s="70">
        <f>IFERROR(VLOOKUP("U-233",$A$4:$L$32,8)/$B37,0)</f>
        <v>1280.8934970385783</v>
      </c>
      <c r="I37" s="71">
        <f>IFERROR(VLOOKUP("U-233",$A$4:$L$32,9)/$B37,0)</f>
        <v>7310.8164240385468</v>
      </c>
      <c r="J37" s="71">
        <f>IFERROR(VLOOKUP("U-233",$A$4:$L$32,10)/$B37,0)</f>
        <v>30773.100057922788</v>
      </c>
      <c r="K37" s="71">
        <f>IFERROR(VLOOKUP("U-233",$A$4:$L$32,11)/$B37,0)</f>
        <v>10444.972187463472</v>
      </c>
      <c r="L37" s="71">
        <f>IFERROR(VLOOKUP("U-233",$A$4:$L$32,12)/$B37,0)</f>
        <v>9739.4035338591439</v>
      </c>
      <c r="M37" s="70">
        <f>IFERROR(VLOOKUP("U-233",$A$4:$R$32,13)/$B37,0)</f>
        <v>3.5955746719162276</v>
      </c>
      <c r="N37" s="71">
        <f>IFERROR(VLOOKUP("U-233",$A$4:$R$32,14)/$B37,0)</f>
        <v>2.0522070278346075E-2</v>
      </c>
      <c r="O37" s="71">
        <f>IFERROR(VLOOKUP("U-233",$A$4:$R$32,15)/$B37,0)</f>
        <v>86.382653515242652</v>
      </c>
      <c r="P37" s="71">
        <f>IFERROR(VLOOKUP("U-233",$A$4:$R$32,16)/$B37,0)</f>
        <v>29.319906403570407</v>
      </c>
      <c r="Q37" s="71">
        <f>IFERROR(VLOOKUP("U-233",$A$4:$R$32,17)/$B37,0)</f>
        <v>27.339316459079999</v>
      </c>
      <c r="R37" s="95">
        <f t="shared" si="29"/>
        <v>43864898.544231236</v>
      </c>
    </row>
    <row r="38" spans="1:18">
      <c r="A38" s="31" t="s">
        <v>179</v>
      </c>
      <c r="B38" s="32">
        <v>1</v>
      </c>
      <c r="C38" s="70">
        <f>IFERROR(VLOOKUP("Th-229",$A$4:$L$32,3)/$B38,0)</f>
        <v>102.66506484822519</v>
      </c>
      <c r="D38" s="71">
        <f>IFERROR(VLOOKUP("Th-229",$A$4:$L$32,4)/$B38,0)</f>
        <v>62.94464698389055</v>
      </c>
      <c r="E38" s="71">
        <f>IFERROR(VLOOKUP("Th-229",$A$4:$L$32,5)/$B38,0)</f>
        <v>99.893934972444356</v>
      </c>
      <c r="F38" s="71">
        <f>IFERROR(VLOOKUP("Th-229",$A$4:$L$32,6)/$B38,0)</f>
        <v>38.861777433830547</v>
      </c>
      <c r="G38" s="71">
        <f>IFERROR(VLOOKUP("Th-229",$A$4:$L$32,7)/$B38,0)</f>
        <v>35.040924801264573</v>
      </c>
      <c r="H38" s="70">
        <f>IFERROR(VLOOKUP("Th-229",$A$4:$L$32,8)/$B38,0)</f>
        <v>3.7986073993843359</v>
      </c>
      <c r="I38" s="71">
        <f>IFERROR(VLOOKUP("Th-229",$A$4:$L$32,9)/$B38,0)</f>
        <v>2.3289519384039528</v>
      </c>
      <c r="J38" s="71">
        <f>IFERROR(VLOOKUP("Th-229",$A$4:$L$32,10)/$B38,0)</f>
        <v>3.6960755939804448</v>
      </c>
      <c r="K38" s="71">
        <f>IFERROR(VLOOKUP("Th-229",$A$4:$L$32,11)/$B38,0)</f>
        <v>1.4378857650517316</v>
      </c>
      <c r="L38" s="71">
        <f>IFERROR(VLOOKUP("Th-229",$A$4:$L$32,12)/$B38,0)</f>
        <v>1.2965142176467905</v>
      </c>
      <c r="M38" s="70">
        <f>IFERROR(VLOOKUP("Th-229",$A$4:$R$32,13)/$B38,0)</f>
        <v>4.8318368252220578E-4</v>
      </c>
      <c r="N38" s="71">
        <f>IFERROR(VLOOKUP("Th-229",$A$4:$R$32,14)/$B38,0)</f>
        <v>2.9624319012215839E-7</v>
      </c>
      <c r="O38" s="71">
        <f>IFERROR(VLOOKUP("Th-229",$A$4:$R$32,15)/$B38,0)</f>
        <v>4.7014161470579184E-4</v>
      </c>
      <c r="P38" s="71">
        <f>IFERROR(VLOOKUP("Th-229",$A$4:$R$32,16)/$B38,0)</f>
        <v>1.8289938020879954E-4</v>
      </c>
      <c r="Q38" s="71">
        <f>IFERROR(VLOOKUP("Th-229",$A$4:$R$32,17)/$B38,0)</f>
        <v>1.6491688881206998E-4</v>
      </c>
      <c r="R38" s="95">
        <f t="shared" si="29"/>
        <v>13973.711630423702</v>
      </c>
    </row>
    <row r="39" spans="1:18">
      <c r="A39" s="31" t="s">
        <v>180</v>
      </c>
      <c r="B39" s="32">
        <v>1</v>
      </c>
      <c r="C39" s="70">
        <f>IFERROR(VLOOKUP("Ra-225",$A$4:$L$32,3)/$B39,0)</f>
        <v>2702.9654954959287</v>
      </c>
      <c r="D39" s="71">
        <f>IFERROR(VLOOKUP("Ra-225",$A$4:$L$32,4)/$B39,0)</f>
        <v>2104.3555748904296</v>
      </c>
      <c r="E39" s="71">
        <f>IFERROR(VLOOKUP("Ra-225",$A$4:$L$32,5)/$B39,0)</f>
        <v>6646.1493117219716</v>
      </c>
      <c r="F39" s="71">
        <f>IFERROR(VLOOKUP("Ra-225",$A$4:$L$32,6)/$B39,0)</f>
        <v>4588.7038434745573</v>
      </c>
      <c r="G39" s="71">
        <f>IFERROR(VLOOKUP("Ra-225",$A$4:$L$32,7)/$B39,0)</f>
        <v>5037.6066920243838</v>
      </c>
      <c r="H39" s="70">
        <f>IFERROR(VLOOKUP("Ra-225",$A$4:$L$32,8)/$B39,0)</f>
        <v>100.00972333334947</v>
      </c>
      <c r="I39" s="71">
        <f>IFERROR(VLOOKUP("Ra-225",$A$4:$L$32,9)/$B39,0)</f>
        <v>77.861156270945969</v>
      </c>
      <c r="J39" s="71">
        <f>IFERROR(VLOOKUP("Ra-225",$A$4:$L$32,10)/$B39,0)</f>
        <v>245.9075245337132</v>
      </c>
      <c r="K39" s="71">
        <f>IFERROR(VLOOKUP("Ra-225",$A$4:$L$32,11)/$B39,0)</f>
        <v>169.78204220855878</v>
      </c>
      <c r="L39" s="71">
        <f>IFERROR(VLOOKUP("Ra-225",$A$4:$L$32,12)/$B39,0)</f>
        <v>186.3914476049024</v>
      </c>
      <c r="M39" s="70">
        <f>IFERROR(VLOOKUP("Ra-225",$A$4:$R$32,13)/$B39,0)</f>
        <v>6.9514348236219636E-8</v>
      </c>
      <c r="N39" s="71">
        <f>IFERROR(VLOOKUP("Ra-225",$A$4:$R$32,14)/$B39,0)</f>
        <v>5.4119413099990077E-11</v>
      </c>
      <c r="O39" s="71">
        <f>IFERROR(VLOOKUP("Ra-225",$A$4:$R$32,15)/$B39,0)</f>
        <v>1.7092439339488731E-7</v>
      </c>
      <c r="P39" s="71">
        <f>IFERROR(VLOOKUP("Ra-225",$A$4:$R$32,16)/$B39,0)</f>
        <v>1.1801140542108349E-7</v>
      </c>
      <c r="Q39" s="71">
        <f>IFERROR(VLOOKUP("Ra-225",$A$4:$R$32,17)/$B39,0)</f>
        <v>1.2955620278913064E-7</v>
      </c>
      <c r="R39" s="95">
        <f t="shared" si="29"/>
        <v>467166.9376256754</v>
      </c>
    </row>
    <row r="40" spans="1:18">
      <c r="A40" s="31" t="s">
        <v>181</v>
      </c>
      <c r="B40" s="32">
        <v>1</v>
      </c>
      <c r="C40" s="70">
        <f>IFERROR(VLOOKUP("Ac-225",$A$4:$L$32,3)/$B40,0)</f>
        <v>1571.6437969557437</v>
      </c>
      <c r="D40" s="71">
        <f>IFERROR(VLOOKUP("Ac-225",$A$4:$L$32,4)/$B40,0)</f>
        <v>1708.2492632561168</v>
      </c>
      <c r="E40" s="71">
        <f>IFERROR(VLOOKUP("Ac-225",$A$4:$L$32,5)/$B40,0)</f>
        <v>3003.2421710717972</v>
      </c>
      <c r="F40" s="71">
        <f>IFERROR(VLOOKUP("Ac-225",$A$4:$L$32,6)/$B40,0)</f>
        <v>1097.5648303736307</v>
      </c>
      <c r="G40" s="71">
        <f>IFERROR(VLOOKUP("Ac-225",$A$4:$L$32,7)/$B40,0)</f>
        <v>963.9931858300157</v>
      </c>
      <c r="H40" s="70">
        <f>IFERROR(VLOOKUP("Ac-225",$A$4:$L$32,8)/$B40,0)</f>
        <v>58.150820487362573</v>
      </c>
      <c r="I40" s="71">
        <f>IFERROR(VLOOKUP("Ac-225",$A$4:$L$32,9)/$B40,0)</f>
        <v>63.205222740476387</v>
      </c>
      <c r="J40" s="71">
        <f>IFERROR(VLOOKUP("Ac-225",$A$4:$L$32,10)/$B40,0)</f>
        <v>111.11996032965661</v>
      </c>
      <c r="K40" s="71">
        <f>IFERROR(VLOOKUP("Ac-225",$A$4:$L$32,11)/$B40,0)</f>
        <v>40.609898723824379</v>
      </c>
      <c r="L40" s="71">
        <f>IFERROR(VLOOKUP("Ac-225",$A$4:$L$32,12)/$B40,0)</f>
        <v>35.667747875710617</v>
      </c>
      <c r="M40" s="70">
        <f>IFERROR(VLOOKUP("Ac-225",$A$4:$R$32,13)/$B40,0)</f>
        <v>2.7127002522798158E-8</v>
      </c>
      <c r="N40" s="71">
        <f>IFERROR(VLOOKUP("Ac-225",$A$4:$R$32,14)/$B40,0)</f>
        <v>2.9484850297297791E-11</v>
      </c>
      <c r="O40" s="71">
        <f>IFERROR(VLOOKUP("Ac-225",$A$4:$R$32,15)/$B40,0)</f>
        <v>5.1836782678774233E-8</v>
      </c>
      <c r="P40" s="71">
        <f>IFERROR(VLOOKUP("Ac-225",$A$4:$R$32,16)/$B40,0)</f>
        <v>1.8944269674942392E-8</v>
      </c>
      <c r="Q40" s="71">
        <f>IFERROR(VLOOKUP("Ac-225",$A$4:$R$32,17)/$B40,0)</f>
        <v>1.6638786495148457E-8</v>
      </c>
      <c r="R40" s="95">
        <f t="shared" si="29"/>
        <v>379231.33644285792</v>
      </c>
    </row>
    <row r="41" spans="1:18">
      <c r="A41" s="31" t="s">
        <v>182</v>
      </c>
      <c r="B41" s="32">
        <v>1</v>
      </c>
      <c r="C41" s="70">
        <f>IFERROR(VLOOKUP("Fr-221",$A$4:$L$32,3)/$B41,0)</f>
        <v>829.96979370352585</v>
      </c>
      <c r="D41" s="71">
        <f>IFERROR(VLOOKUP("Fr-221",$A$4:$L$32,4)/$B41,0)</f>
        <v>2693.5402627562357</v>
      </c>
      <c r="E41" s="71">
        <f>IFERROR(VLOOKUP("Fr-221",$A$4:$L$32,5)/$B41,0)</f>
        <v>2428.7507956447612</v>
      </c>
      <c r="F41" s="71">
        <f>IFERROR(VLOOKUP("Fr-221",$A$4:$L$32,6)/$B41,0)</f>
        <v>933.80754781237988</v>
      </c>
      <c r="G41" s="71">
        <f>IFERROR(VLOOKUP("Fr-221",$A$4:$L$32,7)/$B41,0)</f>
        <v>793.11051482309551</v>
      </c>
      <c r="H41" s="70">
        <f>IFERROR(VLOOKUP("Fr-221",$A$4:$L$32,8)/$B41,0)</f>
        <v>30.708882367030487</v>
      </c>
      <c r="I41" s="71">
        <f>IFERROR(VLOOKUP("Fr-221",$A$4:$L$32,9)/$B41,0)</f>
        <v>99.660989721980826</v>
      </c>
      <c r="J41" s="71">
        <f>IFERROR(VLOOKUP("Fr-221",$A$4:$L$32,10)/$B41,0)</f>
        <v>89.863779438856255</v>
      </c>
      <c r="K41" s="71">
        <f>IFERROR(VLOOKUP("Fr-221",$A$4:$L$32,11)/$B41,0)</f>
        <v>34.550879269058093</v>
      </c>
      <c r="L41" s="71">
        <f>IFERROR(VLOOKUP("Fr-221",$A$4:$L$32,12)/$B41,0)</f>
        <v>29.345089048454565</v>
      </c>
      <c r="M41" s="70">
        <f>IFERROR(VLOOKUP("Fr-221",$A$4:$R$32,13)/$B41,0)</f>
        <v>4.7879908882883146E-12</v>
      </c>
      <c r="N41" s="71">
        <f>IFERROR(VLOOKUP("Fr-221",$A$4:$R$32,14)/$B41,0)</f>
        <v>1.553869349602064E-14</v>
      </c>
      <c r="O41" s="71">
        <f>IFERROR(VLOOKUP("Fr-221",$A$4:$R$32,15)/$B41,0)</f>
        <v>1.4011156511587525E-11</v>
      </c>
      <c r="P41" s="71">
        <f>IFERROR(VLOOKUP("Fr-221",$A$4:$R$32,16)/$B41,0)</f>
        <v>5.3870177737307399E-12</v>
      </c>
      <c r="Q41" s="71">
        <f>IFERROR(VLOOKUP("Fr-221",$A$4:$R$32,17)/$B41,0)</f>
        <v>4.5753543649265739E-12</v>
      </c>
      <c r="R41" s="95">
        <f t="shared" si="29"/>
        <v>597965.93833188433</v>
      </c>
    </row>
    <row r="42" spans="1:18">
      <c r="A42" s="31" t="s">
        <v>183</v>
      </c>
      <c r="B42" s="32">
        <v>1</v>
      </c>
      <c r="C42" s="70">
        <f>IFERROR(VLOOKUP("At-217",$A$4:$L$32,3)/$B42,0)</f>
        <v>13229471.20473511</v>
      </c>
      <c r="D42" s="71">
        <f>IFERROR(VLOOKUP("At-217",$A$4:$L$32,4)/$B42,0)</f>
        <v>50570491.360663973</v>
      </c>
      <c r="E42" s="71">
        <f>IFERROR(VLOOKUP("At-217",$A$4:$L$32,5)/$B42,0)</f>
        <v>47190570.689741537</v>
      </c>
      <c r="F42" s="71">
        <f>IFERROR(VLOOKUP("At-217",$A$4:$L$32,6)/$B42,0)</f>
        <v>17719571.028549541</v>
      </c>
      <c r="G42" s="71">
        <f>IFERROR(VLOOKUP("At-217",$A$4:$L$32,7)/$B42,0)</f>
        <v>13383957.203063864</v>
      </c>
      <c r="H42" s="70">
        <f>IFERROR(VLOOKUP("At-217",$A$4:$L$32,8)/$B42,0)</f>
        <v>489490.43457519956</v>
      </c>
      <c r="I42" s="71">
        <f>IFERROR(VLOOKUP("At-217",$A$4:$L$32,9)/$B42,0)</f>
        <v>1871108.1803445688</v>
      </c>
      <c r="J42" s="71">
        <f>IFERROR(VLOOKUP("At-217",$A$4:$L$32,10)/$B42,0)</f>
        <v>1746051.1155204386</v>
      </c>
      <c r="K42" s="71">
        <f>IFERROR(VLOOKUP("At-217",$A$4:$L$32,11)/$B42,0)</f>
        <v>655624.12805633363</v>
      </c>
      <c r="L42" s="71">
        <f>IFERROR(VLOOKUP("At-217",$A$4:$L$32,12)/$B42,0)</f>
        <v>495206.41651336348</v>
      </c>
      <c r="M42" s="70">
        <f>IFERROR(VLOOKUP("At-217",$A$4:$R$32,13)/$B42,0)</f>
        <v>8.2329630434774788E-12</v>
      </c>
      <c r="N42" s="71">
        <f>IFERROR(VLOOKUP("At-217",$A$4:$R$32,14)/$B42,0)</f>
        <v>3.1471022538967759E-14</v>
      </c>
      <c r="O42" s="71">
        <f>IFERROR(VLOOKUP("At-217",$A$4:$R$32,15)/$B42,0)</f>
        <v>2.9367630684300865E-11</v>
      </c>
      <c r="P42" s="71">
        <f>IFERROR(VLOOKUP("At-217",$A$4:$R$32,16)/$B42,0)</f>
        <v>1.1027241464655624E-11</v>
      </c>
      <c r="Q42" s="71">
        <f>IFERROR(VLOOKUP("At-217",$A$4:$R$32,17)/$B42,0)</f>
        <v>8.3291027527139385E-12</v>
      </c>
      <c r="R42" s="95">
        <f t="shared" si="29"/>
        <v>11226649082.067404</v>
      </c>
    </row>
    <row r="43" spans="1:18">
      <c r="A43" s="31" t="s">
        <v>184</v>
      </c>
      <c r="B43" s="33">
        <v>0.99987999999999999</v>
      </c>
      <c r="C43" s="70">
        <f>IFERROR(VLOOKUP("Bi-213",$A$4:$L$32,3)/$B43,0)</f>
        <v>69.932029745990235</v>
      </c>
      <c r="D43" s="71">
        <f>IFERROR(VLOOKUP("Bi-213",$A$4:$L$32,4)/$B43,0)</f>
        <v>287.73268935200099</v>
      </c>
      <c r="E43" s="71">
        <f>IFERROR(VLOOKUP("Bi-213",$A$4:$L$32,5)/$B43,0)</f>
        <v>315.21984983002653</v>
      </c>
      <c r="F43" s="71">
        <f>IFERROR(VLOOKUP("Bi-213",$A$4:$L$32,6)/$B43,0)</f>
        <v>104.34027238377317</v>
      </c>
      <c r="G43" s="71">
        <f>IFERROR(VLOOKUP("Bi-213",$A$4:$L$32,7)/$B43,0)</f>
        <v>78.975543475323448</v>
      </c>
      <c r="H43" s="70">
        <f>IFERROR(VLOOKUP("Bi-213",$A$4:$L$32,8)/$B43,0)</f>
        <v>2.5874851006016417</v>
      </c>
      <c r="I43" s="71">
        <f>IFERROR(VLOOKUP("Bi-213",$A$4:$L$32,9)/$B43,0)</f>
        <v>10.646109506024047</v>
      </c>
      <c r="J43" s="71">
        <f>IFERROR(VLOOKUP("Bi-213",$A$4:$L$32,10)/$B43,0)</f>
        <v>11.663134443710995</v>
      </c>
      <c r="K43" s="71">
        <f>IFERROR(VLOOKUP("Bi-213",$A$4:$L$32,11)/$B43,0)</f>
        <v>3.8605900781996114</v>
      </c>
      <c r="L43" s="71">
        <f>IFERROR(VLOOKUP("Bi-213",$A$4:$L$32,12)/$B43,0)</f>
        <v>2.9220951085869702</v>
      </c>
      <c r="M43" s="70">
        <f>IFERROR(VLOOKUP("Bi-213",$A$4:$R$32,13)/$B43,0)</f>
        <v>3.6176621332225911E-12</v>
      </c>
      <c r="N43" s="71">
        <f>IFERROR(VLOOKUP("Bi-213",$A$4:$R$32,14)/$B43,0)</f>
        <v>1.4884733912913734E-14</v>
      </c>
      <c r="O43" s="71">
        <f>IFERROR(VLOOKUP("Bi-213",$A$4:$R$32,15)/$B43,0)</f>
        <v>1.6306675474918333E-11</v>
      </c>
      <c r="P43" s="71">
        <f>IFERROR(VLOOKUP("Bi-213",$A$4:$R$32,16)/$B43,0)</f>
        <v>5.3976390181145892E-12</v>
      </c>
      <c r="Q43" s="71">
        <f>IFERROR(VLOOKUP("Bi-213",$A$4:$R$32,17)/$B43,0)</f>
        <v>4.0854932156138936E-12</v>
      </c>
      <c r="R43" s="95">
        <f t="shared" si="29"/>
        <v>63876.657036144228</v>
      </c>
    </row>
    <row r="44" spans="1:18">
      <c r="A44" s="31" t="s">
        <v>185</v>
      </c>
      <c r="B44" s="32">
        <v>0.97898250799999997</v>
      </c>
      <c r="C44" s="70">
        <f>IFERROR(VLOOKUP("Po-213",$A$4:$L$32,3)/$B44,0)</f>
        <v>1307677830.1188853</v>
      </c>
      <c r="D44" s="71">
        <f>IFERROR(VLOOKUP("Po-213",$A$4:$L$32,4)/$B44,0)</f>
        <v>10491668687.585455</v>
      </c>
      <c r="E44" s="71">
        <f>IFERROR(VLOOKUP("Po-213",$A$4:$L$32,5)/$B44,0)</f>
        <v>7613818454.9436893</v>
      </c>
      <c r="F44" s="71">
        <f>IFERROR(VLOOKUP("Po-213",$A$4:$L$32,6)/$B44,0)</f>
        <v>2593016849.9778433</v>
      </c>
      <c r="G44" s="71">
        <f>IFERROR(VLOOKUP("Po-213",$A$4:$L$32,7)/$B44,0)</f>
        <v>1911153342.4515176</v>
      </c>
      <c r="H44" s="70">
        <f>IFERROR(VLOOKUP("Po-213",$A$4:$L$32,8)/$B44,0)</f>
        <v>48384079.714398809</v>
      </c>
      <c r="I44" s="71">
        <f>IFERROR(VLOOKUP("Po-213",$A$4:$L$32,9)/$B44,0)</f>
        <v>388191741.44066226</v>
      </c>
      <c r="J44" s="71">
        <f>IFERROR(VLOOKUP("Po-213",$A$4:$L$32,10)/$B44,0)</f>
        <v>281711282.8329168</v>
      </c>
      <c r="K44" s="71">
        <f>IFERROR(VLOOKUP("Po-213",$A$4:$L$32,11)/$B44,0)</f>
        <v>95941623.44918029</v>
      </c>
      <c r="L44" s="71">
        <f>IFERROR(VLOOKUP("Po-213",$A$4:$L$32,12)/$B44,0)</f>
        <v>70712673.670706213</v>
      </c>
      <c r="M44" s="70">
        <f>IFERROR(VLOOKUP("Po-213",$A$4:$R$32,13)/$B44,0)</f>
        <v>1.0386783495396253E-13</v>
      </c>
      <c r="N44" s="71">
        <f>IFERROR(VLOOKUP("Po-213",$A$4:$R$32,14)/$B44,0)</f>
        <v>8.333450996372022E-16</v>
      </c>
      <c r="O44" s="71">
        <f>IFERROR(VLOOKUP("Po-213",$A$4:$R$32,15)/$B44,0)</f>
        <v>6.0475968960613791E-13</v>
      </c>
      <c r="P44" s="71">
        <f>IFERROR(VLOOKUP("Po-213",$A$4:$R$32,16)/$B44,0)</f>
        <v>2.0596131554960799E-13</v>
      </c>
      <c r="Q44" s="71">
        <f>IFERROR(VLOOKUP("Po-213",$A$4:$R$32,17)/$B44,0)</f>
        <v>1.5180142644723211E-13</v>
      </c>
      <c r="R44" s="95">
        <f t="shared" si="29"/>
        <v>2329150448643.9712</v>
      </c>
    </row>
    <row r="45" spans="1:18">
      <c r="A45" s="31" t="s">
        <v>186</v>
      </c>
      <c r="B45" s="32">
        <v>2.0897492E-2</v>
      </c>
      <c r="C45" s="70">
        <f>IFERROR(VLOOKUP("Tl-209",$A$4:$L$32,3)/$B45,0)</f>
        <v>20.742845452011093</v>
      </c>
      <c r="D45" s="71">
        <f>IFERROR(VLOOKUP("Tl-209",$A$4:$L$32,4)/$B45,0)</f>
        <v>121.21885333633176</v>
      </c>
      <c r="E45" s="71">
        <f>IFERROR(VLOOKUP("Tl-209",$A$4:$L$32,5)/$B45,0)</f>
        <v>99.414287371923308</v>
      </c>
      <c r="F45" s="71">
        <f>IFERROR(VLOOKUP("Tl-209",$A$4:$L$32,6)/$B45,0)</f>
        <v>34.411932943393339</v>
      </c>
      <c r="G45" s="71">
        <f>IFERROR(VLOOKUP("Tl-209",$A$4:$L$32,7)/$B45,0)</f>
        <v>24.930925837760181</v>
      </c>
      <c r="H45" s="70">
        <f>IFERROR(VLOOKUP("Tl-209",$A$4:$L$32,8)/$B45,0)</f>
        <v>0.76748528172441122</v>
      </c>
      <c r="I45" s="71">
        <f>IFERROR(VLOOKUP("Tl-209",$A$4:$L$32,9)/$B45,0)</f>
        <v>4.4850975734442793</v>
      </c>
      <c r="J45" s="71">
        <f>IFERROR(VLOOKUP("Tl-209",$A$4:$L$32,10)/$B45,0)</f>
        <v>3.6783286327611662</v>
      </c>
      <c r="K45" s="71">
        <f>IFERROR(VLOOKUP("Tl-209",$A$4:$L$32,11)/$B45,0)</f>
        <v>1.2732415189055548</v>
      </c>
      <c r="L45" s="71">
        <f>IFERROR(VLOOKUP("Tl-209",$A$4:$L$32,12)/$B45,0)</f>
        <v>0.92244425599712765</v>
      </c>
      <c r="M45" s="70">
        <f>IFERROR(VLOOKUP("Tl-209",$A$4:$R$32,13)/$B45,0)</f>
        <v>4.9908217533399728E-14</v>
      </c>
      <c r="N45" s="71">
        <f>IFERROR(VLOOKUP("Tl-209",$A$4:$R$32,14)/$B45,0)</f>
        <v>2.9165800398288037E-16</v>
      </c>
      <c r="O45" s="71">
        <f>IFERROR(VLOOKUP("Tl-209",$A$4:$R$32,15)/$B45,0)</f>
        <v>2.3919523922427036E-13</v>
      </c>
      <c r="P45" s="71">
        <f>IFERROR(VLOOKUP("Tl-209",$A$4:$R$32,16)/$B45,0)</f>
        <v>8.2796655794257358E-14</v>
      </c>
      <c r="Q45" s="71">
        <f>IFERROR(VLOOKUP("Tl-209",$A$4:$R$32,17)/$B45,0)</f>
        <v>5.9984926990783508E-14</v>
      </c>
      <c r="R45" s="95">
        <f t="shared" si="29"/>
        <v>26910.585440665654</v>
      </c>
    </row>
    <row r="46" spans="1:18">
      <c r="A46" s="31" t="s">
        <v>187</v>
      </c>
      <c r="B46" s="32">
        <v>0.99987999999999999</v>
      </c>
      <c r="C46" s="70">
        <f>IFERROR(VLOOKUP("Pb-209",$A$4:$L$32,3)/$B46,0)</f>
        <v>0</v>
      </c>
      <c r="D46" s="71">
        <f>IFERROR(VLOOKUP("Pb-209",$A$4:$L$32,4)/$B46,0)</f>
        <v>0</v>
      </c>
      <c r="E46" s="71">
        <f>IFERROR(VLOOKUP("Pb-209",$A$4:$L$32,5)/$B46,0)</f>
        <v>0</v>
      </c>
      <c r="F46" s="71">
        <f>IFERROR(VLOOKUP("Pb-209",$A$4:$L$32,6)/$B46,0)</f>
        <v>0</v>
      </c>
      <c r="G46" s="71">
        <f>IFERROR(VLOOKUP("Pb-209",$A$4:$L$32,7)/$B46,0)</f>
        <v>0</v>
      </c>
      <c r="H46" s="70">
        <f>IFERROR(VLOOKUP("Pb-209",$A$4:$L$32,8)/$B46,0)</f>
        <v>0</v>
      </c>
      <c r="I46" s="71">
        <f>IFERROR(VLOOKUP("Pb-209",$A$4:$L$32,9)/$B46,0)</f>
        <v>0</v>
      </c>
      <c r="J46" s="71">
        <f>IFERROR(VLOOKUP("Pb-209",$A$4:$L$32,10)/$B46,0)</f>
        <v>0</v>
      </c>
      <c r="K46" s="71">
        <f>IFERROR(VLOOKUP("Pb-209",$A$4:$L$32,11)/$B46,0)</f>
        <v>0</v>
      </c>
      <c r="L46" s="71">
        <f>IFERROR(VLOOKUP("Pb-209",$A$4:$L$32,12)/$B46,0)</f>
        <v>0</v>
      </c>
      <c r="M46" s="70">
        <f>IFERROR(VLOOKUP("Pb-209",$A$4:$R$32,13)/$B46,0)</f>
        <v>0</v>
      </c>
      <c r="N46" s="71">
        <f>IFERROR(VLOOKUP("Pb-209",$A$4:$R$32,14)/$B46,0)</f>
        <v>0</v>
      </c>
      <c r="O46" s="71">
        <f>IFERROR(VLOOKUP("Pb-209",$A$4:$R$32,15)/$B46,0)</f>
        <v>0</v>
      </c>
      <c r="P46" s="71">
        <f>IFERROR(VLOOKUP("Pb-209",$A$4:$R$32,16)/$B46,0)</f>
        <v>0</v>
      </c>
      <c r="Q46" s="71">
        <f>IFERROR(VLOOKUP("Pb-209",$A$4:$R$32,17)/$B46,0)</f>
        <v>0</v>
      </c>
      <c r="R46" s="95">
        <f t="shared" si="29"/>
        <v>0</v>
      </c>
    </row>
    <row r="47" spans="1:18">
      <c r="A47" s="30" t="s">
        <v>17</v>
      </c>
      <c r="B47" s="30" t="s">
        <v>59</v>
      </c>
      <c r="C47" s="76">
        <f>IFERROR(1/SUM(1/C48,1/C49),0)</f>
        <v>4.9547539638016085</v>
      </c>
      <c r="D47" s="77">
        <f t="shared" ref="D47:G47" si="30">IFERROR(1/SUM(1/D48,1/D49),0)</f>
        <v>33.673938650560444</v>
      </c>
      <c r="E47" s="77">
        <f t="shared" si="30"/>
        <v>25.901224986591952</v>
      </c>
      <c r="F47" s="77">
        <f t="shared" si="30"/>
        <v>8.3989410259178001</v>
      </c>
      <c r="G47" s="77">
        <f t="shared" si="30"/>
        <v>6.7470848091336126</v>
      </c>
      <c r="H47" s="76">
        <f>IFERROR(1/SUM(1/H48,1/H49),0)</f>
        <v>0.18332589666065968</v>
      </c>
      <c r="I47" s="77">
        <f t="shared" ref="I47:L47" si="31">IFERROR(1/SUM(1/I48,1/I49),0)</f>
        <v>1.2459357300707377</v>
      </c>
      <c r="J47" s="77">
        <f t="shared" si="31"/>
        <v>0.95834532450390331</v>
      </c>
      <c r="K47" s="77">
        <f t="shared" si="31"/>
        <v>0.31076081795895893</v>
      </c>
      <c r="L47" s="77">
        <f t="shared" si="31"/>
        <v>0.24964213793794396</v>
      </c>
      <c r="M47" s="20">
        <f>IFERROR(C47*VLOOKUP("Cs-137",Isospec!$A$3:$R$31,3)*VLOOKUP("Cs-137",Isospec!$A$3:$R$31,6)*SSLgram,".")</f>
        <v>5.733690616441684E-8</v>
      </c>
      <c r="N47" s="19">
        <f>IFERROR(D47*VLOOKUP("Cs-137",Isospec!$A$3:$R$31,3)*VLOOKUP("Cs-137",Isospec!$A$3:$R$31,6)*SSLcm_m,".")</f>
        <v>3.8967817064161754E-10</v>
      </c>
      <c r="O47" s="19">
        <f>IFERROR(E47*VLOOKUP("Cs-137",Isospec!$A$3:$R$31,3)*VLOOKUP("Cs-137",Isospec!$A$3:$R$31,6)*SSLgram,".")</f>
        <v>2.9973155427080175E-7</v>
      </c>
      <c r="P47" s="19">
        <f>IFERROR(F47*VLOOKUP("Cs-137",Isospec!$A$3:$R$31,3)*VLOOKUP("Cs-137",Isospec!$A$3:$R$31,6)*SSLgram,".")</f>
        <v>9.7193381750489318E-8</v>
      </c>
      <c r="Q47" s="21">
        <f>IFERROR(G47*VLOOKUP("Cs-137",Isospec!$A$3:$R$31,3)*VLOOKUP("Cs-137",Isospec!$A$3:$R$31,6)*SSLgram,".")</f>
        <v>7.8077937151057754E-8</v>
      </c>
      <c r="R47" s="94">
        <f t="shared" si="29"/>
        <v>7475.6143804244193</v>
      </c>
    </row>
    <row r="48" spans="1:18">
      <c r="A48" s="31" t="s">
        <v>188</v>
      </c>
      <c r="B48" s="32">
        <v>1</v>
      </c>
      <c r="C48" s="70">
        <f>IFERROR(VLOOKUP("Cs-137",$A$4:$L$32,3)/$B48,0)</f>
        <v>2924806367.8915334</v>
      </c>
      <c r="D48" s="71">
        <f>IFERROR(VLOOKUP("Cs-137",$A$4:$L$32,4)/$B48,0)</f>
        <v>4835.697182640135</v>
      </c>
      <c r="E48" s="71">
        <f>IFERROR(VLOOKUP("Cs-137",$A$4:$L$32,5)/$B48,0)</f>
        <v>34924.143555842304</v>
      </c>
      <c r="F48" s="71">
        <f>IFERROR(VLOOKUP("Cs-137",$A$4:$L$32,6)/$B48,0)</f>
        <v>20960.367870638416</v>
      </c>
      <c r="G48" s="71">
        <f>IFERROR(VLOOKUP("Cs-137",$A$4:$L$32,7)/$B48,0)</f>
        <v>12630.44001141588</v>
      </c>
      <c r="H48" s="70">
        <f>IFERROR(VLOOKUP("Cs-137",$A$4:$L$32,8)/$B48,0)</f>
        <v>108217835.61198685</v>
      </c>
      <c r="I48" s="71">
        <f>IFERROR(VLOOKUP("Cs-137",$A$4:$L$32,9)/$B48,0)</f>
        <v>178.92079575768517</v>
      </c>
      <c r="J48" s="71">
        <f>IFERROR(VLOOKUP("Cs-137",$A$4:$L$32,10)/$B48,0)</f>
        <v>1292.1933115661666</v>
      </c>
      <c r="K48" s="71">
        <f>IFERROR(VLOOKUP("Cs-137",$A$4:$L$32,11)/$B48,0)</f>
        <v>775.53361121362218</v>
      </c>
      <c r="L48" s="71">
        <f>IFERROR(VLOOKUP("Cs-137",$A$4:$L$32,12)/$B48,0)</f>
        <v>467.32628042238804</v>
      </c>
      <c r="M48" s="70">
        <f>IFERROR(VLOOKUP("Cs-137",$A$4:$R$32,13)/$B48,0)</f>
        <v>33.846150482962813</v>
      </c>
      <c r="N48" s="71">
        <f>IFERROR(VLOOKUP("Cs-137",$A$4:$R$32,14)/$B48,0)</f>
        <v>5.5959169239523152E-8</v>
      </c>
      <c r="O48" s="71">
        <f>IFERROR(VLOOKUP("Cs-137",$A$4:$R$32,15)/$B48,0)</f>
        <v>4.0414566627593955E-4</v>
      </c>
      <c r="P48" s="71">
        <f>IFERROR(VLOOKUP("Cs-137",$A$4:$R$32,16)/$B48,0)</f>
        <v>2.4255546381325293E-4</v>
      </c>
      <c r="Q48" s="71">
        <f>IFERROR(VLOOKUP("Cs-137",$A$4:$R$32,17)/$B48,0)</f>
        <v>1.461607092987121E-4</v>
      </c>
      <c r="R48" s="95">
        <f t="shared" si="29"/>
        <v>1073524.7745461101</v>
      </c>
    </row>
    <row r="49" spans="1:18">
      <c r="A49" s="31" t="s">
        <v>189</v>
      </c>
      <c r="B49" s="32">
        <v>0.94399</v>
      </c>
      <c r="C49" s="70">
        <f>IFERROR(VLOOKUP("Ba-137m",$A$4:$L$32,3)/$B49,0)</f>
        <v>4.954753972195185</v>
      </c>
      <c r="D49" s="71">
        <f>IFERROR(VLOOKUP("Ba-137m",$A$4:$L$32,4)/$B49,0)</f>
        <v>33.910075396808182</v>
      </c>
      <c r="E49" s="71">
        <f>IFERROR(VLOOKUP("Ba-137m",$A$4:$L$32,5)/$B49,0)</f>
        <v>25.920448689878953</v>
      </c>
      <c r="F49" s="71">
        <f>IFERROR(VLOOKUP("Ba-137m",$A$4:$L$32,6)/$B49,0)</f>
        <v>8.4023078794385277</v>
      </c>
      <c r="G49" s="71">
        <f>IFERROR(VLOOKUP("Ba-137m",$A$4:$L$32,7)/$B49,0)</f>
        <v>6.7506909768126198</v>
      </c>
      <c r="H49" s="70">
        <f>IFERROR(VLOOKUP("Ba-137m",$A$4:$L$32,8)/$B49,0)</f>
        <v>0.18332589697122204</v>
      </c>
      <c r="I49" s="71">
        <f>IFERROR(VLOOKUP("Ba-137m",$A$4:$L$32,9)/$B49,0)</f>
        <v>1.2546727896819039</v>
      </c>
      <c r="J49" s="71">
        <f>IFERROR(VLOOKUP("Ba-137m",$A$4:$L$32,10)/$B49,0)</f>
        <v>0.95905660152552219</v>
      </c>
      <c r="K49" s="71">
        <f>IFERROR(VLOOKUP("Ba-137m",$A$4:$L$32,11)/$B49,0)</f>
        <v>0.31088539153922584</v>
      </c>
      <c r="L49" s="71">
        <f>IFERROR(VLOOKUP("Ba-137m",$A$4:$L$32,12)/$B49,0)</f>
        <v>0.2497755661420672</v>
      </c>
      <c r="M49" s="70">
        <f>IFERROR(VLOOKUP("Ba-137m",$A$4:$R$32,13)/$B49,0)</f>
        <v>9.2283914150862262E-15</v>
      </c>
      <c r="N49" s="71">
        <f>IFERROR(VLOOKUP("Ba-137m",$A$4:$R$32,14)/$B49,0)</f>
        <v>6.3158625116997786E-17</v>
      </c>
      <c r="O49" s="71">
        <f>IFERROR(VLOOKUP("Ba-137m",$A$4:$R$32,15)/$B49,0)</f>
        <v>4.8277683918760457E-14</v>
      </c>
      <c r="P49" s="71">
        <f>IFERROR(VLOOKUP("Ba-137m",$A$4:$R$32,16)/$B49,0)</f>
        <v>1.5649573386823113E-14</v>
      </c>
      <c r="Q49" s="71">
        <f>IFERROR(VLOOKUP("Ba-137m",$A$4:$R$32,17)/$B49,0)</f>
        <v>1.2573382857336251E-14</v>
      </c>
      <c r="R49" s="95">
        <f t="shared" si="29"/>
        <v>7528.0367380914167</v>
      </c>
    </row>
    <row r="50" spans="1:18">
      <c r="A50" s="30" t="s">
        <v>27</v>
      </c>
      <c r="B50" s="30" t="s">
        <v>59</v>
      </c>
      <c r="C50" s="76">
        <f t="shared" ref="C50:L50" si="32">IFERROR(1/SUM(1/C51,1/C52,1/C56,1/C57,1/C55,1/C58,1/C59,1/C60,1/C61,1/C63,1/C62,1/C64),0)</f>
        <v>1.0894942452281571</v>
      </c>
      <c r="D50" s="77">
        <f t="shared" si="32"/>
        <v>7.9570674989050936</v>
      </c>
      <c r="E50" s="77">
        <f t="shared" si="32"/>
        <v>6.342602287301073</v>
      </c>
      <c r="F50" s="77">
        <f t="shared" si="32"/>
        <v>2.1333697338687658</v>
      </c>
      <c r="G50" s="77">
        <f t="shared" si="32"/>
        <v>1.5849451345176111</v>
      </c>
      <c r="H50" s="76">
        <f t="shared" si="32"/>
        <v>4.0311287073441844E-2</v>
      </c>
      <c r="I50" s="77">
        <f t="shared" si="32"/>
        <v>0.29441149745948869</v>
      </c>
      <c r="J50" s="77">
        <f t="shared" si="32"/>
        <v>0.23467628463013995</v>
      </c>
      <c r="K50" s="77">
        <f t="shared" si="32"/>
        <v>7.8934680153144421E-2</v>
      </c>
      <c r="L50" s="77">
        <f t="shared" si="32"/>
        <v>5.8642969977151696E-2</v>
      </c>
      <c r="M50" s="20">
        <f>IFERROR(C50*VLOOKUP("Ra-226",Isospec!$A$3:$R$31,3)*VLOOKUP("Ra-226",Isospec!$A$3:$R$31,6)*SSLgram,".")</f>
        <v>1.1030911334086042E-6</v>
      </c>
      <c r="N50" s="19">
        <f>IFERROR(D50*VLOOKUP("Ra-226",Isospec!$A$3:$R$31,3)*VLOOKUP("Ra-226",Isospec!$A$3:$R$31,6)*SSLcm_m,".")</f>
        <v>8.0563717012914313E-9</v>
      </c>
      <c r="O50" s="19">
        <f>IFERROR(E50*VLOOKUP("Ra-226",Isospec!$A$3:$R$31,3)*VLOOKUP("Ra-226",Isospec!$A$3:$R$31,6)*SSLgram,".")</f>
        <v>6.4217579638465893E-6</v>
      </c>
      <c r="P50" s="19">
        <f>IFERROR(F50*VLOOKUP("Ra-226",Isospec!$A$3:$R$31,3)*VLOOKUP("Ra-226",Isospec!$A$3:$R$31,6)*SSLgram,".")</f>
        <v>2.1599941881474478E-6</v>
      </c>
      <c r="Q50" s="21">
        <f>IFERROR(G50*VLOOKUP("Ra-226",Isospec!$A$3:$R$31,3)*VLOOKUP("Ra-226",Isospec!$A$3:$R$31,6)*SSLgram,".")</f>
        <v>1.604725249796391E-6</v>
      </c>
      <c r="R50" s="94">
        <f t="shared" si="29"/>
        <v>1766.4689847569309</v>
      </c>
    </row>
    <row r="51" spans="1:18">
      <c r="A51" s="31" t="s">
        <v>190</v>
      </c>
      <c r="B51" s="32">
        <v>1</v>
      </c>
      <c r="C51" s="70">
        <f>IFERROR(VLOOKUP("Ra-226",$A$4:$L$32,3)/$B51,0)</f>
        <v>12472.597569173206</v>
      </c>
      <c r="D51" s="71">
        <f>IFERROR(VLOOKUP("Ra-226",$A$4:$L$32,4)/$B51,0)</f>
        <v>2552.1057042046191</v>
      </c>
      <c r="E51" s="71">
        <f>IFERROR(VLOOKUP("Ra-226",$A$4:$L$32,5)/$B51,0)</f>
        <v>1936.8293829893944</v>
      </c>
      <c r="F51" s="71">
        <f>IFERROR(VLOOKUP("Ra-226",$A$4:$L$32,6)/$B51,0)</f>
        <v>714.49420542973746</v>
      </c>
      <c r="G51" s="71">
        <f>IFERROR(VLOOKUP("Ra-226",$A$4:$L$32,7)/$B51,0)</f>
        <v>475.56626780877065</v>
      </c>
      <c r="H51" s="70">
        <f>IFERROR(VLOOKUP("Ra-226",$A$4:$L$32,8)/$B51,0)</f>
        <v>461.4861100594091</v>
      </c>
      <c r="I51" s="71">
        <f>IFERROR(VLOOKUP("Ra-226",$A$4:$L$32,9)/$B51,0)</f>
        <v>94.427911055571002</v>
      </c>
      <c r="J51" s="71">
        <f>IFERROR(VLOOKUP("Ra-226",$A$4:$L$32,10)/$B51,0)</f>
        <v>71.662687170607668</v>
      </c>
      <c r="K51" s="71">
        <f>IFERROR(VLOOKUP("Ra-226",$A$4:$L$32,11)/$B51,0)</f>
        <v>26.436285600900312</v>
      </c>
      <c r="L51" s="71">
        <f>IFERROR(VLOOKUP("Ra-226",$A$4:$L$32,12)/$B51,0)</f>
        <v>17.595951908924533</v>
      </c>
      <c r="M51" s="70">
        <f>IFERROR(VLOOKUP("Ra-226",$A$4:$R$32,13)/$B51,0)</f>
        <v>1.2628255586836489E-2</v>
      </c>
      <c r="N51" s="71">
        <f>IFERROR(VLOOKUP("Ra-226",$A$4:$R$32,14)/$B51,0)</f>
        <v>2.583955983393093E-6</v>
      </c>
      <c r="O51" s="71">
        <f>IFERROR(VLOOKUP("Ra-226",$A$4:$R$32,15)/$B51,0)</f>
        <v>1.9610010136891019E-3</v>
      </c>
      <c r="P51" s="71">
        <f>IFERROR(VLOOKUP("Ra-226",$A$4:$R$32,16)/$B51,0)</f>
        <v>7.234110931135005E-4</v>
      </c>
      <c r="Q51" s="71">
        <f>IFERROR(VLOOKUP("Ra-226",$A$4:$R$32,17)/$B51,0)</f>
        <v>4.8150133483102403E-4</v>
      </c>
      <c r="R51" s="95">
        <f t="shared" si="29"/>
        <v>566567.46633342549</v>
      </c>
    </row>
    <row r="52" spans="1:18">
      <c r="A52" s="31" t="s">
        <v>191</v>
      </c>
      <c r="B52" s="32">
        <v>1</v>
      </c>
      <c r="C52" s="70">
        <f>IFERROR(VLOOKUP("Rn-222",$A$4:$L$32,3)/$B52,0)</f>
        <v>8872228.1879057307</v>
      </c>
      <c r="D52" s="71">
        <f>IFERROR(VLOOKUP("Rn-222",$A$4:$L$32,4)/$B52,0)</f>
        <v>61396323.193612874</v>
      </c>
      <c r="E52" s="71">
        <f>IFERROR(VLOOKUP("Rn-222",$A$4:$L$32,5)/$B52,0)</f>
        <v>46314273.378173947</v>
      </c>
      <c r="F52" s="71">
        <f>IFERROR(VLOOKUP("Rn-222",$A$4:$L$32,6)/$B52,0)</f>
        <v>13964191.545418082</v>
      </c>
      <c r="G52" s="71">
        <f>IFERROR(VLOOKUP("Rn-222",$A$4:$L$32,7)/$B52,0)</f>
        <v>9690988.9674442131</v>
      </c>
      <c r="H52" s="70">
        <f>IFERROR(VLOOKUP("Rn-222",$A$4:$L$32,8)/$B52,0)</f>
        <v>328272.44295251236</v>
      </c>
      <c r="I52" s="71">
        <f>IFERROR(VLOOKUP("Rn-222",$A$4:$L$32,9)/$B52,0)</f>
        <v>2271663.9581636786</v>
      </c>
      <c r="J52" s="71">
        <f>IFERROR(VLOOKUP("Rn-222",$A$4:$L$32,10)/$B52,0)</f>
        <v>1713628.1149924379</v>
      </c>
      <c r="K52" s="71">
        <f>IFERROR(VLOOKUP("Rn-222",$A$4:$L$32,11)/$B52,0)</f>
        <v>516675.08718046953</v>
      </c>
      <c r="L52" s="71">
        <f>IFERROR(VLOOKUP("Rn-222",$A$4:$L$32,12)/$B52,0)</f>
        <v>358566.59179543622</v>
      </c>
      <c r="M52" s="70">
        <f>IFERROR(VLOOKUP("Rn-222",$A$4:$R$32,13)/$B52,0)</f>
        <v>5.7771273201548393E-5</v>
      </c>
      <c r="N52" s="71">
        <f>IFERROR(VLOOKUP("Rn-222",$A$4:$R$32,14)/$B52,0)</f>
        <v>3.9978049320505814E-7</v>
      </c>
      <c r="O52" s="71">
        <f>IFERROR(VLOOKUP("Rn-222",$A$4:$R$32,15)/$B52,0)</f>
        <v>3.015741349066073E-4</v>
      </c>
      <c r="P52" s="71">
        <f>IFERROR(VLOOKUP("Rn-222",$A$4:$R$32,16)/$B52,0)</f>
        <v>9.0927454493201773E-5</v>
      </c>
      <c r="Q52" s="71">
        <f>IFERROR(VLOOKUP("Rn-222",$A$4:$R$32,17)/$B52,0)</f>
        <v>6.3102611810028861E-5</v>
      </c>
      <c r="R52" s="95">
        <f t="shared" si="29"/>
        <v>13629983748.982059</v>
      </c>
    </row>
    <row r="53" spans="1:18">
      <c r="A53" s="31" t="s">
        <v>192</v>
      </c>
      <c r="B53" s="32">
        <v>1</v>
      </c>
      <c r="C53" s="70">
        <f>IFERROR(VLOOKUP("Po-218",$A$4:$L$32,3)/$B53,0)</f>
        <v>0</v>
      </c>
      <c r="D53" s="71">
        <f>IFERROR(VLOOKUP("Po-218",$A$4:$L$32,4)/$B53,0)</f>
        <v>0</v>
      </c>
      <c r="E53" s="71">
        <f>IFERROR(VLOOKUP("Po-218",$A$4:$L$32,5)/$B53,0)</f>
        <v>0</v>
      </c>
      <c r="F53" s="71">
        <f>IFERROR(VLOOKUP("Po-218",$A$4:$L$32,6)/$B53,0)</f>
        <v>0</v>
      </c>
      <c r="G53" s="71">
        <f>IFERROR(VLOOKUP("Po-218",$A$4:$L$32,7)/$B53,0)</f>
        <v>0</v>
      </c>
      <c r="H53" s="70">
        <f>IFERROR(VLOOKUP("Po-218",$A$4:$L$32,8)/$B53,0)</f>
        <v>0</v>
      </c>
      <c r="I53" s="71">
        <f>IFERROR(VLOOKUP("Po-218",$A$4:$L$32,9)/$B53,0)</f>
        <v>0</v>
      </c>
      <c r="J53" s="71">
        <f>IFERROR(VLOOKUP("Po-218",$A$4:$L$32,10)/$B53,0)</f>
        <v>0</v>
      </c>
      <c r="K53" s="71">
        <f>IFERROR(VLOOKUP("Po-218",$A$4:$L$32,11)/$B53,0)</f>
        <v>0</v>
      </c>
      <c r="L53" s="71">
        <f>IFERROR(VLOOKUP("Po-218",$A$4:$L$32,12)/$B53,0)</f>
        <v>0</v>
      </c>
      <c r="M53" s="70">
        <f>IFERROR(VLOOKUP("Po-218",$A$4:$R$32,13)/$B53,0)</f>
        <v>0</v>
      </c>
      <c r="N53" s="71">
        <f>IFERROR(VLOOKUP("Po-218",$A$4:$R$32,14)/$B53,0)</f>
        <v>0</v>
      </c>
      <c r="O53" s="71">
        <f>IFERROR(VLOOKUP("Po-218",$A$4:$R$32,15)/$B53,0)</f>
        <v>0</v>
      </c>
      <c r="P53" s="71">
        <f>IFERROR(VLOOKUP("Po-218",$A$4:$R$32,16)/$B53,0)</f>
        <v>0</v>
      </c>
      <c r="Q53" s="71">
        <f>IFERROR(VLOOKUP("Po-218",$A$4:$R$32,17)/$B53,0)</f>
        <v>0</v>
      </c>
      <c r="R53" s="95">
        <f t="shared" si="29"/>
        <v>0</v>
      </c>
    </row>
    <row r="54" spans="1:18">
      <c r="A54" s="31" t="s">
        <v>194</v>
      </c>
      <c r="B54" s="32">
        <v>2.0000000000000001E-4</v>
      </c>
      <c r="C54" s="70">
        <f>IFERROR(VLOOKUP("At-218",$A$4:$L$32,3)/$B54,0)</f>
        <v>0</v>
      </c>
      <c r="D54" s="71">
        <f>IFERROR(VLOOKUP("At-218",$A$4:$L$32,4)/$B54,0)</f>
        <v>0</v>
      </c>
      <c r="E54" s="71">
        <f>IFERROR(VLOOKUP("At-218",$A$4:$L$32,5)/$B54,0)</f>
        <v>0</v>
      </c>
      <c r="F54" s="71">
        <f>IFERROR(VLOOKUP("At-218",$A$4:$L$32,6)/$B54,0)</f>
        <v>0</v>
      </c>
      <c r="G54" s="71">
        <f>IFERROR(VLOOKUP("At-218",$A$4:$L$32,7)/$B54,0)</f>
        <v>0</v>
      </c>
      <c r="H54" s="70">
        <f>IFERROR(VLOOKUP("At-218",$A$4:$L$32,8)/$B54,0)</f>
        <v>0</v>
      </c>
      <c r="I54" s="71">
        <f>IFERROR(VLOOKUP("At-218",$A$4:$L$32,9)/$B54,0)</f>
        <v>0</v>
      </c>
      <c r="J54" s="71">
        <f>IFERROR(VLOOKUP("At-218",$A$4:$L$32,10)/$B54,0)</f>
        <v>0</v>
      </c>
      <c r="K54" s="71">
        <f>IFERROR(VLOOKUP("At-218",$A$4:$L$32,11)/$B54,0)</f>
        <v>0</v>
      </c>
      <c r="L54" s="71">
        <f>IFERROR(VLOOKUP("At-218",$A$4:$L$32,12)/$B54,0)</f>
        <v>0</v>
      </c>
      <c r="M54" s="70">
        <f>IFERROR(VLOOKUP("At-218",$A$4:$R$32,13)/$B54,0)</f>
        <v>0</v>
      </c>
      <c r="N54" s="71">
        <f>IFERROR(VLOOKUP("At-218",$A$4:$R$32,14)/$B54,0)</f>
        <v>0</v>
      </c>
      <c r="O54" s="71">
        <f>IFERROR(VLOOKUP("At-218",$A$4:$R$32,15)/$B54,0)</f>
        <v>0</v>
      </c>
      <c r="P54" s="71">
        <f>IFERROR(VLOOKUP("At-218",$A$4:$R$32,16)/$B54,0)</f>
        <v>0</v>
      </c>
      <c r="Q54" s="71">
        <f>IFERROR(VLOOKUP("At-218",$A$4:$R$32,17)/$B54,0)</f>
        <v>0</v>
      </c>
      <c r="R54" s="95">
        <f t="shared" si="29"/>
        <v>0</v>
      </c>
    </row>
    <row r="55" spans="1:18">
      <c r="A55" s="31" t="s">
        <v>196</v>
      </c>
      <c r="B55" s="32">
        <v>1.9999999999999999E-7</v>
      </c>
      <c r="C55" s="70">
        <f>IFERROR(VLOOKUP("Rn-218",$A$4:$L$32,3)/$B55,0)</f>
        <v>13802369146939.379</v>
      </c>
      <c r="D55" s="71">
        <f>IFERROR(VLOOKUP("Rn-218",$A$4:$L$32,4)/$B55,0)</f>
        <v>99569339201270.313</v>
      </c>
      <c r="E55" s="71">
        <f>IFERROR(VLOOKUP("Rn-218",$A$4:$L$32,5)/$B55,0)</f>
        <v>72256612175045.469</v>
      </c>
      <c r="F55" s="71">
        <f>IFERROR(VLOOKUP("Rn-218",$A$4:$L$32,6)/$B55,0)</f>
        <v>23072785950501.176</v>
      </c>
      <c r="G55" s="71">
        <f>IFERROR(VLOOKUP("Rn-218",$A$4:$L$32,7)/$B55,0)</f>
        <v>18764643893225.016</v>
      </c>
      <c r="H55" s="70">
        <f>IFERROR(VLOOKUP("Rn-218",$A$4:$L$32,8)/$B55,0)</f>
        <v>510687658436.75757</v>
      </c>
      <c r="I55" s="71">
        <f>IFERROR(VLOOKUP("Rn-218",$A$4:$L$32,9)/$B55,0)</f>
        <v>3684065550447.0054</v>
      </c>
      <c r="J55" s="71">
        <f>IFERROR(VLOOKUP("Rn-218",$A$4:$L$32,10)/$B55,0)</f>
        <v>2673494650476.6851</v>
      </c>
      <c r="K55" s="71">
        <f>IFERROR(VLOOKUP("Rn-218",$A$4:$L$32,11)/$B55,0)</f>
        <v>853693080168.54431</v>
      </c>
      <c r="L55" s="71">
        <f>IFERROR(VLOOKUP("Rn-218",$A$4:$L$32,12)/$B55,0)</f>
        <v>694291824049.32629</v>
      </c>
      <c r="M55" s="70">
        <f>IFERROR(VLOOKUP("Rn-218",$A$4:$R$32,13)/$B55,0)</f>
        <v>9.3503873178343265E-6</v>
      </c>
      <c r="N55" s="71">
        <f>IFERROR(VLOOKUP("Rn-218",$A$4:$R$32,14)/$B55,0)</f>
        <v>6.7453049299087222E-8</v>
      </c>
      <c r="O55" s="71">
        <f>IFERROR(VLOOKUP("Rn-218",$A$4:$R$32,15)/$B55,0)</f>
        <v>4.8950097111482942E-5</v>
      </c>
      <c r="P55" s="71">
        <f>IFERROR(VLOOKUP("Rn-218",$A$4:$R$32,16)/$B55,0)</f>
        <v>1.5630612602946619E-5</v>
      </c>
      <c r="Q55" s="71">
        <f>IFERROR(VLOOKUP("Rn-218",$A$4:$R$32,17)/$B55,0)</f>
        <v>1.2712070400015014E-5</v>
      </c>
      <c r="R55" s="95">
        <f>IF(D55&lt;&gt;".",D55*2.22*100,".")</f>
        <v>2.2104393302682012E+16</v>
      </c>
    </row>
    <row r="56" spans="1:18">
      <c r="A56" s="31" t="s">
        <v>193</v>
      </c>
      <c r="B56" s="32">
        <v>0.99980000000000002</v>
      </c>
      <c r="C56" s="70">
        <f>IFERROR(VLOOKUP("Pb-214",$A$4:$L$32,3)/$B56,0)</f>
        <v>13.499680781245738</v>
      </c>
      <c r="D56" s="71">
        <f>IFERROR(VLOOKUP("Pb-214",$A$4:$L$32,4)/$B56,0)</f>
        <v>49.959270978277765</v>
      </c>
      <c r="E56" s="71">
        <f>IFERROR(VLOOKUP("Pb-214",$A$4:$L$32,5)/$B56,0)</f>
        <v>48.801963680889699</v>
      </c>
      <c r="F56" s="71">
        <f>IFERROR(VLOOKUP("Pb-214",$A$4:$L$32,6)/$B56,0)</f>
        <v>17.527402558883107</v>
      </c>
      <c r="G56" s="71">
        <f>IFERROR(VLOOKUP("Pb-214",$A$4:$L$32,7)/$B56,0)</f>
        <v>13.773812695931717</v>
      </c>
      <c r="H56" s="70">
        <f>IFERROR(VLOOKUP("Pb-214",$A$4:$L$32,8)/$B56,0)</f>
        <v>0.49948818890609281</v>
      </c>
      <c r="I56" s="71">
        <f>IFERROR(VLOOKUP("Pb-214",$A$4:$L$32,9)/$B56,0)</f>
        <v>1.8484930261962793</v>
      </c>
      <c r="J56" s="71">
        <f>IFERROR(VLOOKUP("Pb-214",$A$4:$L$32,10)/$B56,0)</f>
        <v>1.8056726561929208</v>
      </c>
      <c r="K56" s="71">
        <f>IFERROR(VLOOKUP("Pb-214",$A$4:$L$32,11)/$B56,0)</f>
        <v>0.6485138946786756</v>
      </c>
      <c r="L56" s="71">
        <f>IFERROR(VLOOKUP("Pb-214",$A$4:$L$32,12)/$B56,0)</f>
        <v>0.50963106974947403</v>
      </c>
      <c r="M56" s="70">
        <f>IFERROR(VLOOKUP("Pb-214",$A$4:$R$32,13)/$B56,0)</f>
        <v>4.1245326066681811E-13</v>
      </c>
      <c r="N56" s="71">
        <f>IFERROR(VLOOKUP("Pb-214",$A$4:$R$32,14)/$B56,0)</f>
        <v>1.5263964051767979E-15</v>
      </c>
      <c r="O56" s="71">
        <f>IFERROR(VLOOKUP("Pb-214",$A$4:$R$32,15)/$B56,0)</f>
        <v>1.4910374084615316E-12</v>
      </c>
      <c r="P56" s="71">
        <f>IFERROR(VLOOKUP("Pb-214",$A$4:$R$32,16)/$B56,0)</f>
        <v>5.3551150235155126E-13</v>
      </c>
      <c r="Q56" s="71">
        <f>IFERROR(VLOOKUP("Pb-214",$A$4:$R$32,17)/$B56,0)</f>
        <v>4.2082876256921461E-13</v>
      </c>
      <c r="R56" s="95">
        <f>IF(D56&lt;&gt;".",D56*2.22*100,".")</f>
        <v>11090.958157177663</v>
      </c>
    </row>
    <row r="57" spans="1:18">
      <c r="A57" s="31" t="s">
        <v>195</v>
      </c>
      <c r="B57" s="32">
        <v>0.99999979999999999</v>
      </c>
      <c r="C57" s="70">
        <f>IFERROR(VLOOKUP("Bi-214",$A$4:$L$32,3)/$B57,0)</f>
        <v>1.1863810977598663</v>
      </c>
      <c r="D57" s="71">
        <f>IFERROR(VLOOKUP("Bi-214",$A$4:$L$32,4)/$B57,0)</f>
        <v>9.520183261361062</v>
      </c>
      <c r="E57" s="71">
        <f>IFERROR(VLOOKUP("Bi-214",$A$4:$L$32,5)/$B57,0)</f>
        <v>7.3265979149704616</v>
      </c>
      <c r="F57" s="71">
        <f>IFERROR(VLOOKUP("Bi-214",$A$4:$L$32,6)/$B57,0)</f>
        <v>2.439992324417676</v>
      </c>
      <c r="G57" s="71">
        <f>IFERROR(VLOOKUP("Bi-214",$A$4:$L$32,7)/$B57,0)</f>
        <v>1.7997606138196969</v>
      </c>
      <c r="H57" s="70">
        <f>IFERROR(VLOOKUP("Bi-214",$A$4:$L$32,8)/$B57,0)</f>
        <v>4.3896100617115096E-2</v>
      </c>
      <c r="I57" s="71">
        <f>IFERROR(VLOOKUP("Bi-214",$A$4:$L$32,9)/$B57,0)</f>
        <v>0.35224678067035964</v>
      </c>
      <c r="J57" s="71">
        <f>IFERROR(VLOOKUP("Bi-214",$A$4:$L$32,10)/$B57,0)</f>
        <v>0.27108412285390737</v>
      </c>
      <c r="K57" s="71">
        <f>IFERROR(VLOOKUP("Bi-214",$A$4:$L$32,11)/$B57,0)</f>
        <v>9.0279716003454108E-2</v>
      </c>
      <c r="L57" s="71">
        <f>IFERROR(VLOOKUP("Bi-214",$A$4:$L$32,12)/$B57,0)</f>
        <v>6.6591142711328863E-2</v>
      </c>
      <c r="M57" s="70">
        <f>IFERROR(VLOOKUP("Bi-214",$A$4:$R$32,13)/$B57,0)</f>
        <v>2.6914960274308402E-14</v>
      </c>
      <c r="N57" s="71">
        <f>IFERROR(VLOOKUP("Bi-214",$A$4:$R$32,14)/$B57,0)</f>
        <v>2.1598064464065913E-16</v>
      </c>
      <c r="O57" s="71">
        <f>IFERROR(VLOOKUP("Bi-214",$A$4:$R$32,15)/$B57,0)</f>
        <v>1.6621563863383024E-13</v>
      </c>
      <c r="P57" s="71">
        <f>IFERROR(VLOOKUP("Bi-214",$A$4:$R$32,16)/$B57,0)</f>
        <v>5.5355143979722949E-14</v>
      </c>
      <c r="Q57" s="71">
        <f>IFERROR(VLOOKUP("Bi-214",$A$4:$R$32,17)/$B57,0)</f>
        <v>4.083045955105635E-14</v>
      </c>
      <c r="R57" s="95">
        <f t="shared" si="29"/>
        <v>2113.4806840221563</v>
      </c>
    </row>
    <row r="58" spans="1:18">
      <c r="A58" s="31" t="s">
        <v>197</v>
      </c>
      <c r="B58" s="32">
        <v>0.99979000004200003</v>
      </c>
      <c r="C58" s="70">
        <f>IFERROR(VLOOKUP("Po-214",$A$4:$L$32,3)/$B58,0)</f>
        <v>268306758.53498775</v>
      </c>
      <c r="D58" s="71">
        <f>IFERROR(VLOOKUP("Po-214",$A$4:$L$32,4)/$B58,0)</f>
        <v>2255369153.4234805</v>
      </c>
      <c r="E58" s="71">
        <f>IFERROR(VLOOKUP("Po-214",$A$4:$L$32,5)/$B58,0)</f>
        <v>1598617282.0513182</v>
      </c>
      <c r="F58" s="71">
        <f>IFERROR(VLOOKUP("Po-214",$A$4:$L$32,6)/$B58,0)</f>
        <v>544982136.10955262</v>
      </c>
      <c r="G58" s="71">
        <f>IFERROR(VLOOKUP("Po-214",$A$4:$L$32,7)/$B58,0)</f>
        <v>397671253.70862782</v>
      </c>
      <c r="H58" s="70">
        <f>IFERROR(VLOOKUP("Po-214",$A$4:$L$32,8)/$B58,0)</f>
        <v>9927350.0657945573</v>
      </c>
      <c r="I58" s="71">
        <f>IFERROR(VLOOKUP("Po-214",$A$4:$L$32,9)/$B58,0)</f>
        <v>83448658.676668853</v>
      </c>
      <c r="J58" s="71">
        <f>IFERROR(VLOOKUP("Po-214",$A$4:$L$32,10)/$B58,0)</f>
        <v>59148839.435898833</v>
      </c>
      <c r="K58" s="71">
        <f>IFERROR(VLOOKUP("Po-214",$A$4:$L$32,11)/$B58,0)</f>
        <v>20164339.036053468</v>
      </c>
      <c r="L58" s="71">
        <f>IFERROR(VLOOKUP("Po-214",$A$4:$L$32,12)/$B58,0)</f>
        <v>14713836.387219245</v>
      </c>
      <c r="M58" s="70">
        <f>IFERROR(VLOOKUP("Po-214",$A$4:$R$32,13)/$B58,0)</f>
        <v>8.3759557382157364E-13</v>
      </c>
      <c r="N58" s="71">
        <f>IFERROR(VLOOKUP("Po-214",$A$4:$R$32,14)/$B58,0)</f>
        <v>7.0407738908853318E-15</v>
      </c>
      <c r="O58" s="71">
        <f>IFERROR(VLOOKUP("Po-214",$A$4:$R$32,15)/$B58,0)</f>
        <v>4.9905368280398743E-12</v>
      </c>
      <c r="P58" s="71">
        <f>IFERROR(VLOOKUP("Po-214",$A$4:$R$32,16)/$B58,0)</f>
        <v>1.7013161632962087E-12</v>
      </c>
      <c r="Q58" s="71">
        <f>IFERROR(VLOOKUP("Po-214",$A$4:$R$32,17)/$B58,0)</f>
        <v>1.2414435020614185E-12</v>
      </c>
      <c r="R58" s="95">
        <f t="shared" si="29"/>
        <v>500691952060.0127</v>
      </c>
    </row>
    <row r="59" spans="1:18">
      <c r="A59" s="31" t="s">
        <v>198</v>
      </c>
      <c r="B59" s="32">
        <v>2.0999995799999999E-4</v>
      </c>
      <c r="C59" s="70">
        <f>IFERROR(VLOOKUP("Tl-210",$A$4:$L$32,3)/$B59,0)</f>
        <v>1278.9576273112077</v>
      </c>
      <c r="D59" s="71">
        <f>IFERROR(VLOOKUP("Tl-210",$A$4:$L$32,4)/$B59,0)</f>
        <v>8441.7629669896542</v>
      </c>
      <c r="E59" s="71">
        <f>IFERROR(VLOOKUP("Tl-210",$A$4:$L$32,5)/$B59,0)</f>
        <v>7139.6163774695578</v>
      </c>
      <c r="F59" s="71">
        <f>IFERROR(VLOOKUP("Tl-210",$A$4:$L$32,6)/$B59,0)</f>
        <v>2443.4724612192003</v>
      </c>
      <c r="G59" s="71">
        <f>IFERROR(VLOOKUP("Tl-210",$A$4:$L$32,7)/$B59,0)</f>
        <v>1778.0020964648108</v>
      </c>
      <c r="H59" s="70">
        <f>IFERROR(VLOOKUP("Tl-210",$A$4:$L$32,8)/$B59,0)</f>
        <v>47.321432210514736</v>
      </c>
      <c r="I59" s="71">
        <f>IFERROR(VLOOKUP("Tl-210",$A$4:$L$32,9)/$B59,0)</f>
        <v>312.34522977861752</v>
      </c>
      <c r="J59" s="71">
        <f>IFERROR(VLOOKUP("Tl-210",$A$4:$L$32,10)/$B59,0)</f>
        <v>264.16580596637391</v>
      </c>
      <c r="K59" s="71">
        <f>IFERROR(VLOOKUP("Tl-210",$A$4:$L$32,11)/$B59,0)</f>
        <v>90.408481065110507</v>
      </c>
      <c r="L59" s="71">
        <f>IFERROR(VLOOKUP("Tl-210",$A$4:$L$32,12)/$B59,0)</f>
        <v>65.786077569198071</v>
      </c>
      <c r="M59" s="70">
        <f>IFERROR(VLOOKUP("Tl-210",$A$4:$R$32,13)/$B59,0)</f>
        <v>1.860036549308737E-12</v>
      </c>
      <c r="N59" s="71">
        <f>IFERROR(VLOOKUP("Tl-210",$A$4:$R$32,14)/$B59,0)</f>
        <v>1.2277175821854631E-14</v>
      </c>
      <c r="O59" s="71">
        <f>IFERROR(VLOOKUP("Tl-210",$A$4:$R$32,15)/$B59,0)</f>
        <v>1.0383414685954426E-11</v>
      </c>
      <c r="P59" s="71">
        <f>IFERROR(VLOOKUP("Tl-210",$A$4:$R$32,16)/$B59,0)</f>
        <v>3.5536346068415687E-12</v>
      </c>
      <c r="Q59" s="71">
        <f>IFERROR(VLOOKUP("Tl-210",$A$4:$R$32,17)/$B59,0)</f>
        <v>2.5858158343563179E-12</v>
      </c>
      <c r="R59" s="95">
        <f t="shared" si="29"/>
        <v>1874071.3786717034</v>
      </c>
    </row>
    <row r="60" spans="1:18">
      <c r="A60" s="31" t="s">
        <v>199</v>
      </c>
      <c r="B60" s="32">
        <v>1</v>
      </c>
      <c r="C60" s="70">
        <f>IFERROR(VLOOKUP("Pb-210",$A$4:$L$32,3)/$B60,0)</f>
        <v>51027.421298933739</v>
      </c>
      <c r="D60" s="71">
        <f>IFERROR(VLOOKUP("Pb-210",$A$4:$L$32,4)/$B60,0)</f>
        <v>9274.027886807824</v>
      </c>
      <c r="E60" s="71">
        <f>IFERROR(VLOOKUP("Pb-210",$A$4:$L$32,5)/$B60,0)</f>
        <v>36201.619477710665</v>
      </c>
      <c r="F60" s="71">
        <f>IFERROR(VLOOKUP("Pb-210",$A$4:$L$32,6)/$B60,0)</f>
        <v>23691.843860369183</v>
      </c>
      <c r="G60" s="71">
        <f>IFERROR(VLOOKUP("Pb-210",$A$4:$L$32,7)/$B60,0)</f>
        <v>24761.207919257478</v>
      </c>
      <c r="H60" s="70">
        <f>IFERROR(VLOOKUP("Pb-210",$A$4:$L$32,8)/$B60,0)</f>
        <v>1888.0145880605503</v>
      </c>
      <c r="I60" s="71">
        <f>IFERROR(VLOOKUP("Pb-210",$A$4:$L$32,9)/$B60,0)</f>
        <v>343.13903181188982</v>
      </c>
      <c r="J60" s="71">
        <f>IFERROR(VLOOKUP("Pb-210",$A$4:$L$32,10)/$B60,0)</f>
        <v>1339.459920675296</v>
      </c>
      <c r="K60" s="71">
        <f>IFERROR(VLOOKUP("Pb-210",$A$4:$L$32,11)/$B60,0)</f>
        <v>876.59822283366066</v>
      </c>
      <c r="L60" s="71">
        <f>IFERROR(VLOOKUP("Pb-210",$A$4:$L$32,12)/$B60,0)</f>
        <v>916.16469301252766</v>
      </c>
      <c r="M60" s="70">
        <f>IFERROR(VLOOKUP("Pb-210",$A$4:$R$32,13)/$B60,0)</f>
        <v>6.6609154666776135E-4</v>
      </c>
      <c r="N60" s="71">
        <f>IFERROR(VLOOKUP("Pb-210",$A$4:$R$32,14)/$B60,0)</f>
        <v>1.2105945042323461E-7</v>
      </c>
      <c r="O60" s="71">
        <f>IFERROR(VLOOKUP("Pb-210",$A$4:$R$32,15)/$B60,0)</f>
        <v>4.7256146001424385E-4</v>
      </c>
      <c r="P60" s="71">
        <f>IFERROR(VLOOKUP("Pb-210",$A$4:$R$32,16)/$B60,0)</f>
        <v>3.0926385301571513E-4</v>
      </c>
      <c r="Q60" s="71">
        <f>IFERROR(VLOOKUP("Pb-210",$A$4:$R$32,17)/$B60,0)</f>
        <v>3.2322290369481941E-4</v>
      </c>
      <c r="R60" s="95">
        <f t="shared" si="29"/>
        <v>2058834.190871337</v>
      </c>
    </row>
    <row r="61" spans="1:18">
      <c r="A61" s="31" t="s">
        <v>200</v>
      </c>
      <c r="B61" s="32">
        <v>1</v>
      </c>
      <c r="C61" s="70">
        <f>IFERROR(VLOOKUP("Bi-210",$A$4:$L$32,3)/$B61,0)</f>
        <v>2329544549.1619167</v>
      </c>
      <c r="D61" s="71">
        <f>IFERROR(VLOOKUP("Bi-210",$A$4:$L$32,4)/$B61,0)</f>
        <v>306143795.49569964</v>
      </c>
      <c r="E61" s="71">
        <f>IFERROR(VLOOKUP("Bi-210",$A$4:$L$32,5)/$B61,0)</f>
        <v>3440114649.0533895</v>
      </c>
      <c r="F61" s="71">
        <f>IFERROR(VLOOKUP("Bi-210",$A$4:$L$32,6)/$B61,0)</f>
        <v>2377188904.0100951</v>
      </c>
      <c r="G61" s="71">
        <f>IFERROR(VLOOKUP("Bi-210",$A$4:$L$32,7)/$B61,0)</f>
        <v>2375492376.9149351</v>
      </c>
      <c r="H61" s="70">
        <f>IFERROR(VLOOKUP("Bi-210",$A$4:$L$32,8)/$B61,0)</f>
        <v>86193148.318991005</v>
      </c>
      <c r="I61" s="71">
        <f>IFERROR(VLOOKUP("Bi-210",$A$4:$L$32,9)/$B61,0)</f>
        <v>11327320.433340898</v>
      </c>
      <c r="J61" s="71">
        <f>IFERROR(VLOOKUP("Bi-210",$A$4:$L$32,10)/$B61,0)</f>
        <v>127284242.01497555</v>
      </c>
      <c r="K61" s="71">
        <f>IFERROR(VLOOKUP("Bi-210",$A$4:$L$32,11)/$B61,0)</f>
        <v>87955989.448373616</v>
      </c>
      <c r="L61" s="71">
        <f>IFERROR(VLOOKUP("Bi-210",$A$4:$L$32,12)/$B61,0)</f>
        <v>87893217.945852682</v>
      </c>
      <c r="M61" s="70">
        <f>IFERROR(VLOOKUP("Bi-210",$A$4:$R$32,13)/$B61,0)</f>
        <v>1.8812789076903001E-2</v>
      </c>
      <c r="N61" s="71">
        <f>IFERROR(VLOOKUP("Bi-210",$A$4:$R$32,14)/$B61,0)</f>
        <v>2.472336772411221E-6</v>
      </c>
      <c r="O61" s="71">
        <f>IFERROR(VLOOKUP("Bi-210",$A$4:$R$32,15)/$B61,0)</f>
        <v>2.7781461108476672E-2</v>
      </c>
      <c r="P61" s="71">
        <f>IFERROR(VLOOKUP("Bi-210",$A$4:$R$32,16)/$B61,0)</f>
        <v>1.919755235553889E-2</v>
      </c>
      <c r="Q61" s="71">
        <f>IFERROR(VLOOKUP("Bi-210",$A$4:$R$32,17)/$B61,0)</f>
        <v>1.9183851648928243E-2</v>
      </c>
      <c r="R61" s="95">
        <f t="shared" si="29"/>
        <v>67963922600.045326</v>
      </c>
    </row>
    <row r="62" spans="1:18">
      <c r="A62" s="31" t="s">
        <v>202</v>
      </c>
      <c r="B62" s="32">
        <v>1</v>
      </c>
      <c r="C62" s="70">
        <f>IFERROR(VLOOKUP("Po-210",$A$4:$L$32,3)/$B62,0)</f>
        <v>19634159050.967266</v>
      </c>
      <c r="D62" s="71">
        <f>IFERROR(VLOOKUP("Po-210",$A$4:$L$32,4)/$B62,0)</f>
        <v>165604621688.10611</v>
      </c>
      <c r="E62" s="71">
        <f>IFERROR(VLOOKUP("Po-210",$A$4:$L$32,5)/$B62,0)</f>
        <v>117346325616.99806</v>
      </c>
      <c r="F62" s="71">
        <f>IFERROR(VLOOKUP("Po-210",$A$4:$L$32,6)/$B62,0)</f>
        <v>39958126190.326263</v>
      </c>
      <c r="G62" s="71">
        <f>IFERROR(VLOOKUP("Po-210",$A$4:$L$32,7)/$B62,0)</f>
        <v>29305140731.717205</v>
      </c>
      <c r="H62" s="70">
        <f>IFERROR(VLOOKUP("Po-210",$A$4:$L$32,8)/$B62,0)</f>
        <v>726463884.88578963</v>
      </c>
      <c r="I62" s="71">
        <f>IFERROR(VLOOKUP("Po-210",$A$4:$L$32,9)/$B62,0)</f>
        <v>6127371002.4599323</v>
      </c>
      <c r="J62" s="71">
        <f>IFERROR(VLOOKUP("Po-210",$A$4:$L$32,10)/$B62,0)</f>
        <v>4341814047.8289328</v>
      </c>
      <c r="K62" s="71">
        <f>IFERROR(VLOOKUP("Po-210",$A$4:$L$32,11)/$B62,0)</f>
        <v>1478450669.0420732</v>
      </c>
      <c r="L62" s="71">
        <f>IFERROR(VLOOKUP("Po-210",$A$4:$L$32,12)/$B62,0)</f>
        <v>1084290207.0735376</v>
      </c>
      <c r="M62" s="70">
        <f>IFERROR(VLOOKUP("Po-210",$A$4:$R$32,13)/$B62,0)</f>
        <v>4.3768084355833805</v>
      </c>
      <c r="N62" s="71">
        <f>IFERROR(VLOOKUP("Po-210",$A$4:$R$32,14)/$B62,0)</f>
        <v>3.6916259224272177E-2</v>
      </c>
      <c r="O62" s="71">
        <f>IFERROR(VLOOKUP("Po-210",$A$4:$R$32,15)/$B62,0)</f>
        <v>26.158614000831825</v>
      </c>
      <c r="P62" s="71">
        <f>IFERROR(VLOOKUP("Po-210",$A$4:$R$32,16)/$B62,0)</f>
        <v>8.907387544632801</v>
      </c>
      <c r="Q62" s="71">
        <f>IFERROR(VLOOKUP("Po-210",$A$4:$R$32,17)/$B62,0)</f>
        <v>6.5326448068179017</v>
      </c>
      <c r="R62" s="95">
        <f>IF(D62&lt;&gt;".",D62*2.22*100,".")</f>
        <v>36764226014759.555</v>
      </c>
    </row>
    <row r="63" spans="1:18">
      <c r="A63" s="31" t="s">
        <v>201</v>
      </c>
      <c r="B63" s="34">
        <v>1.9000000000000001E-8</v>
      </c>
      <c r="C63" s="70">
        <f>IFERROR(VLOOKUP("Hg-206",$A$4:$L$32,3)/$B63,0)</f>
        <v>3171730678.4215393</v>
      </c>
      <c r="D63" s="71">
        <f>IFERROR(VLOOKUP("Hg-206",$A$4:$L$32,4)/$B63,0)</f>
        <v>10352675184.458937</v>
      </c>
      <c r="E63" s="71">
        <f>IFERROR(VLOOKUP("Hg-206",$A$4:$L$32,5)/$B63,0)</f>
        <v>11438721790.241459</v>
      </c>
      <c r="F63" s="71">
        <f>IFERROR(VLOOKUP("Hg-206",$A$4:$L$32,6)/$B63,0)</f>
        <v>4143647963.0084009</v>
      </c>
      <c r="G63" s="71">
        <f>IFERROR(VLOOKUP("Hg-206",$A$4:$L$32,7)/$B63,0)</f>
        <v>3309393059.1765943</v>
      </c>
      <c r="H63" s="70">
        <f>IFERROR(VLOOKUP("Hg-206",$A$4:$L$32,8)/$B63,0)</f>
        <v>117354035.10159707</v>
      </c>
      <c r="I63" s="71">
        <f>IFERROR(VLOOKUP("Hg-206",$A$4:$L$32,9)/$B63,0)</f>
        <v>383048981.82498097</v>
      </c>
      <c r="J63" s="71">
        <f>IFERROR(VLOOKUP("Hg-206",$A$4:$L$32,10)/$B63,0)</f>
        <v>423232706.23893446</v>
      </c>
      <c r="K63" s="71">
        <f>IFERROR(VLOOKUP("Hg-206",$A$4:$L$32,11)/$B63,0)</f>
        <v>153314974.631311</v>
      </c>
      <c r="L63" s="71">
        <f>IFERROR(VLOOKUP("Hg-206",$A$4:$L$32,12)/$B63,0)</f>
        <v>122447543.1895341</v>
      </c>
      <c r="M63" s="70">
        <f>IFERROR(VLOOKUP("Hg-206",$A$4:$R$32,13)/$B63,0)</f>
        <v>2.8367679187225068E-5</v>
      </c>
      <c r="N63" s="71">
        <f>IFERROR(VLOOKUP("Hg-206",$A$4:$R$32,14)/$B63,0)</f>
        <v>9.2593412915005845E-8</v>
      </c>
      <c r="O63" s="71">
        <f>IFERROR(VLOOKUP("Hg-206",$A$4:$R$32,15)/$B63,0)</f>
        <v>1.0230691788086431E-4</v>
      </c>
      <c r="P63" s="71">
        <f>IFERROR(VLOOKUP("Hg-206",$A$4:$R$32,16)/$B63,0)</f>
        <v>3.706042157965297E-5</v>
      </c>
      <c r="Q63" s="71">
        <f>IFERROR(VLOOKUP("Hg-206",$A$4:$R$32,17)/$B63,0)</f>
        <v>2.9598919367854931E-5</v>
      </c>
      <c r="R63" s="95">
        <f t="shared" si="29"/>
        <v>2298293890949.8838</v>
      </c>
    </row>
    <row r="64" spans="1:18">
      <c r="A64" s="31" t="s">
        <v>203</v>
      </c>
      <c r="B64" s="32">
        <v>1.339E-6</v>
      </c>
      <c r="C64" s="70">
        <f>IFERROR(VLOOKUP("Tl-206",$A$4:$L$32,3)/$B64,0)</f>
        <v>1382721606267.4902</v>
      </c>
      <c r="D64" s="71">
        <f>IFERROR(VLOOKUP("Tl-206",$A$4:$L$32,4)/$B64,0)</f>
        <v>109619691615.33549</v>
      </c>
      <c r="E64" s="71">
        <f>IFERROR(VLOOKUP("Tl-206",$A$4:$L$32,5)/$B64,0)</f>
        <v>1278369105484.6147</v>
      </c>
      <c r="F64" s="71">
        <f>IFERROR(VLOOKUP("Tl-206",$A$4:$L$32,6)/$B64,0)</f>
        <v>1157236059431.5098</v>
      </c>
      <c r="G64" s="71">
        <f>IFERROR(VLOOKUP("Tl-206",$A$4:$L$32,7)/$B64,0)</f>
        <v>937320469019.32214</v>
      </c>
      <c r="H64" s="70">
        <f>IFERROR(VLOOKUP("Tl-206",$A$4:$L$32,8)/$B64,0)</f>
        <v>51160699431.897194</v>
      </c>
      <c r="I64" s="71">
        <f>IFERROR(VLOOKUP("Tl-206",$A$4:$L$32,9)/$B64,0)</f>
        <v>4055928589.7674174</v>
      </c>
      <c r="J64" s="71">
        <f>IFERROR(VLOOKUP("Tl-206",$A$4:$L$32,10)/$B64,0)</f>
        <v>47299656902.930786</v>
      </c>
      <c r="K64" s="71">
        <f>IFERROR(VLOOKUP("Tl-206",$A$4:$L$32,11)/$B64,0)</f>
        <v>42817734198.965912</v>
      </c>
      <c r="L64" s="71">
        <f>IFERROR(VLOOKUP("Tl-206",$A$4:$L$32,12)/$B64,0)</f>
        <v>34680857353.714958</v>
      </c>
      <c r="M64" s="70">
        <f>IFERROR(VLOOKUP("Tl-206",$A$4:$R$32,13)/$B64,0)</f>
        <v>6.373146983408259E-3</v>
      </c>
      <c r="N64" s="71">
        <f>IFERROR(VLOOKUP("Tl-206",$A$4:$R$32,14)/$B64,0)</f>
        <v>5.0525167450465745E-7</v>
      </c>
      <c r="O64" s="71">
        <f>IFERROR(VLOOKUP("Tl-206",$A$4:$R$32,15)/$B64,0)</f>
        <v>5.8921724889323011E-3</v>
      </c>
      <c r="P64" s="71">
        <f>IFERROR(VLOOKUP("Tl-206",$A$4:$R$32,16)/$B64,0)</f>
        <v>5.3338542392245185E-3</v>
      </c>
      <c r="Q64" s="71">
        <f>IFERROR(VLOOKUP("Tl-206",$A$4:$R$32,17)/$B64,0)</f>
        <v>4.3202341617721756E-3</v>
      </c>
      <c r="R64" s="95">
        <f t="shared" ref="R64:R68" si="33">IF(D64&lt;&gt;".",D64*2.22*100,".")</f>
        <v>24335571538604.484</v>
      </c>
    </row>
    <row r="65" spans="1:18">
      <c r="A65" s="30" t="s">
        <v>31</v>
      </c>
      <c r="B65" s="30" t="s">
        <v>59</v>
      </c>
      <c r="C65" s="76">
        <f>IFERROR(1/SUM(1/C66,1/C69,1/C70,1/C71,1/C72,1/C73,1/C74,1/C75,1/C76,1/C77,1/C78),0)</f>
        <v>1.0895894219865134</v>
      </c>
      <c r="D65" s="77">
        <f t="shared" ref="D65:G65" si="34">IFERROR(1/SUM(1/D66,1/D69,1/D70,1/D71,1/D72,1/D73,1/D74,1/D75,1/D76,1/D77,1/D78),0)</f>
        <v>7.9819539863801783</v>
      </c>
      <c r="E65" s="77">
        <f t="shared" si="34"/>
        <v>6.3634408675892269</v>
      </c>
      <c r="F65" s="77">
        <f t="shared" si="34"/>
        <v>2.1397587241014215</v>
      </c>
      <c r="G65" s="78">
        <f t="shared" si="34"/>
        <v>1.5902450291743411</v>
      </c>
      <c r="H65" s="76">
        <f>IFERROR(1/SUM(1/H66,1/H69,1/H70,1/H71,1/H72,1/H73,1/H74,1/H75,1/H76,1/H77,1/H78),0)</f>
        <v>4.0314808613501021E-2</v>
      </c>
      <c r="I65" s="77">
        <f t="shared" ref="I65:L65" si="35">IFERROR(1/SUM(1/I66,1/I69,1/I70,1/I71,1/I72,1/I73,1/I74,1/I75,1/I76,1/I77,1/I78),0)</f>
        <v>0.29533229749606682</v>
      </c>
      <c r="J65" s="77">
        <f t="shared" si="35"/>
        <v>0.23544731210080158</v>
      </c>
      <c r="K65" s="77">
        <f t="shared" si="35"/>
        <v>7.9171072791752672E-2</v>
      </c>
      <c r="L65" s="78">
        <f t="shared" si="35"/>
        <v>5.8839066079450698E-2</v>
      </c>
      <c r="M65" s="20">
        <f>IFERROR(C65*VLOOKUP("Rn-222",Isospec!$A$3:$R$31,3)*VLOOKUP("Rn-222",Isospec!$A$3:$R$31,6)*SSLgram,".")</f>
        <v>7.0948319680175583E-12</v>
      </c>
      <c r="N65" s="19">
        <f>IFERROR(D65*VLOOKUP("Rn-222",Isospec!$A$3:$R$31,3)*VLOOKUP("Rn-222",Isospec!$A$3:$R$31,6)*SSLcm_m,".")</f>
        <v>5.1974276885478284E-14</v>
      </c>
      <c r="O65" s="19">
        <f>IFERROR(E65*VLOOKUP("Rn-222",Isospec!$A$3:$R$31,3)*VLOOKUP("Rn-222",Isospec!$A$3:$R$31,6)*SSLgram,".")</f>
        <v>4.1435372611868335E-11</v>
      </c>
      <c r="P65" s="19">
        <f>IFERROR(F65*VLOOKUP("Rn-222",Isospec!$A$3:$R$31,3)*VLOOKUP("Rn-222",Isospec!$A$3:$R$31,6)*SSLgram,".")</f>
        <v>1.3932980894694422E-11</v>
      </c>
      <c r="Q65" s="21">
        <f>IFERROR(G65*VLOOKUP("Rn-222",Isospec!$A$3:$R$31,3)*VLOOKUP("Rn-222",Isospec!$A$3:$R$31,6)*SSLgram,".")</f>
        <v>1.0354837374794908E-11</v>
      </c>
      <c r="R65" s="94">
        <f t="shared" si="33"/>
        <v>1771.9937849763999</v>
      </c>
    </row>
    <row r="66" spans="1:18">
      <c r="A66" s="31" t="s">
        <v>191</v>
      </c>
      <c r="B66" s="32">
        <v>1</v>
      </c>
      <c r="C66" s="70">
        <f>IFERROR(VLOOKUP("Rn-222",$A$4:$L$32,3)/$B66,0)</f>
        <v>8872228.1879057307</v>
      </c>
      <c r="D66" s="71">
        <f>IFERROR(VLOOKUP("Rn-222",$A$4:$L$32,4)/$B66,0)</f>
        <v>61396323.193612874</v>
      </c>
      <c r="E66" s="71">
        <f>IFERROR(VLOOKUP("Rn-222",$A$4:$L$32,5)/$B66,0)</f>
        <v>46314273.378173947</v>
      </c>
      <c r="F66" s="71">
        <f>IFERROR(VLOOKUP("Rn-222",$A$4:$L$32,6)/$B66,0)</f>
        <v>13964191.545418082</v>
      </c>
      <c r="G66" s="71">
        <f>IFERROR(VLOOKUP("Rn-222",$A$4:$L$32,7)/$B66,0)</f>
        <v>9690988.9674442131</v>
      </c>
      <c r="H66" s="70">
        <f>IFERROR(VLOOKUP("Rn-222",$A$4:$L$32,8)/$B66,0)</f>
        <v>328272.44295251236</v>
      </c>
      <c r="I66" s="71">
        <f>IFERROR(VLOOKUP("Rn-222",$A$4:$L$32,9)/$B66,0)</f>
        <v>2271663.9581636786</v>
      </c>
      <c r="J66" s="71">
        <f>IFERROR(VLOOKUP("Rn-222",$A$4:$L$32,10)/$B66,0)</f>
        <v>1713628.1149924379</v>
      </c>
      <c r="K66" s="71">
        <f>IFERROR(VLOOKUP("Rn-222",$A$4:$L$32,11)/$B66,0)</f>
        <v>516675.08718046953</v>
      </c>
      <c r="L66" s="71">
        <f>IFERROR(VLOOKUP("Rn-222",$A$4:$L$32,12)/$B66,0)</f>
        <v>358566.59179543622</v>
      </c>
      <c r="M66" s="70">
        <f>IFERROR(VLOOKUP("Rn-222",$A$4:$R$32,13)/$B66,0)</f>
        <v>5.7771273201548393E-5</v>
      </c>
      <c r="N66" s="71">
        <f>IFERROR(VLOOKUP("Rn-222",$A$4:$R$32,14)/$B66,0)</f>
        <v>3.9978049320505814E-7</v>
      </c>
      <c r="O66" s="71">
        <f>IFERROR(VLOOKUP("Rn-222",$A$4:$R$32,15)/$B66,0)</f>
        <v>3.015741349066073E-4</v>
      </c>
      <c r="P66" s="71">
        <f>IFERROR(VLOOKUP("Rn-222",$A$4:$R$32,16)/$B66,0)</f>
        <v>9.0927454493201773E-5</v>
      </c>
      <c r="Q66" s="71">
        <f>IFERROR(VLOOKUP("Rn-222",$A$4:$R$32,17)/$B66,0)</f>
        <v>6.3102611810028861E-5</v>
      </c>
      <c r="R66" s="95">
        <f t="shared" si="33"/>
        <v>13629983748.982059</v>
      </c>
    </row>
    <row r="67" spans="1:18">
      <c r="A67" s="31" t="s">
        <v>192</v>
      </c>
      <c r="B67" s="32">
        <v>1</v>
      </c>
      <c r="C67" s="70">
        <f>IFERROR(VLOOKUP("Po-218",$A$4:$L$32,3)/$B67,0)</f>
        <v>0</v>
      </c>
      <c r="D67" s="71">
        <f>IFERROR(VLOOKUP("Po-218",$A$4:$L$32,4)/$B67,0)</f>
        <v>0</v>
      </c>
      <c r="E67" s="71">
        <f>IFERROR(VLOOKUP("Po-218",$A$4:$L$32,5)/$B67,0)</f>
        <v>0</v>
      </c>
      <c r="F67" s="71">
        <f>IFERROR(VLOOKUP("Po-218",$A$4:$L$32,6)/$B67,0)</f>
        <v>0</v>
      </c>
      <c r="G67" s="71">
        <f>IFERROR(VLOOKUP("Po-218",$A$4:$L$32,7)/$B67,0)</f>
        <v>0</v>
      </c>
      <c r="H67" s="70">
        <f>IFERROR(VLOOKUP("Po-218",$A$4:$L$32,8)/$B67,0)</f>
        <v>0</v>
      </c>
      <c r="I67" s="71">
        <f>IFERROR(VLOOKUP("Po-218",$A$4:$L$32,9)/$B67,0)</f>
        <v>0</v>
      </c>
      <c r="J67" s="71">
        <f>IFERROR(VLOOKUP("Po-218",$A$4:$L$32,10)/$B67,0)</f>
        <v>0</v>
      </c>
      <c r="K67" s="71">
        <f>IFERROR(VLOOKUP("Po-218",$A$4:$L$32,11)/$B67,0)</f>
        <v>0</v>
      </c>
      <c r="L67" s="71">
        <f>IFERROR(VLOOKUP("Po-218",$A$4:$L$32,12)/$B67,0)</f>
        <v>0</v>
      </c>
      <c r="M67" s="70">
        <f>IFERROR(VLOOKUP("Po-218",$A$4:$R$32,13)/$B67,0)</f>
        <v>0</v>
      </c>
      <c r="N67" s="71">
        <f>IFERROR(VLOOKUP("Po-218",$A$4:$R$32,14)/$B67,0)</f>
        <v>0</v>
      </c>
      <c r="O67" s="71">
        <f>IFERROR(VLOOKUP("Po-218",$A$4:$R$32,15)/$B67,0)</f>
        <v>0</v>
      </c>
      <c r="P67" s="71">
        <f>IFERROR(VLOOKUP("Po-218",$A$4:$R$32,16)/$B67,0)</f>
        <v>0</v>
      </c>
      <c r="Q67" s="71">
        <f>IFERROR(VLOOKUP("Po-218",$A$4:$R$32,17)/$B67,0)</f>
        <v>0</v>
      </c>
      <c r="R67" s="95">
        <f t="shared" si="33"/>
        <v>0</v>
      </c>
    </row>
    <row r="68" spans="1:18">
      <c r="A68" s="31" t="s">
        <v>194</v>
      </c>
      <c r="B68" s="32">
        <v>2.0000000000000001E-4</v>
      </c>
      <c r="C68" s="70">
        <f>IFERROR(VLOOKUP("At-218",$A$4:$L$32,3)/$B68,0)</f>
        <v>0</v>
      </c>
      <c r="D68" s="71">
        <f>IFERROR(VLOOKUP("At-218",$A$4:$L$32,4)/$B68,0)</f>
        <v>0</v>
      </c>
      <c r="E68" s="71">
        <f>IFERROR(VLOOKUP("At-218",$A$4:$L$32,5)/$B68,0)</f>
        <v>0</v>
      </c>
      <c r="F68" s="71">
        <f>IFERROR(VLOOKUP("At-218",$A$4:$L$32,6)/$B68,0)</f>
        <v>0</v>
      </c>
      <c r="G68" s="71">
        <f>IFERROR(VLOOKUP("At-218",$A$4:$L$32,7)/$B68,0)</f>
        <v>0</v>
      </c>
      <c r="H68" s="70">
        <f>IFERROR(VLOOKUP("At-218",$A$4:$L$32,8)/$B68,0)</f>
        <v>0</v>
      </c>
      <c r="I68" s="71">
        <f>IFERROR(VLOOKUP("At-218",$A$4:$L$32,9)/$B68,0)</f>
        <v>0</v>
      </c>
      <c r="J68" s="71">
        <f>IFERROR(VLOOKUP("At-218",$A$4:$L$32,10)/$B68,0)</f>
        <v>0</v>
      </c>
      <c r="K68" s="71">
        <f>IFERROR(VLOOKUP("At-218",$A$4:$L$32,11)/$B68,0)</f>
        <v>0</v>
      </c>
      <c r="L68" s="71">
        <f>IFERROR(VLOOKUP("At-218",$A$4:$L$32,12)/$B68,0)</f>
        <v>0</v>
      </c>
      <c r="M68" s="70">
        <f>IFERROR(VLOOKUP("At-218",$A$4:$R$32,13)/$B68,0)</f>
        <v>0</v>
      </c>
      <c r="N68" s="71">
        <f>IFERROR(VLOOKUP("At-218",$A$4:$R$32,14)/$B68,0)</f>
        <v>0</v>
      </c>
      <c r="O68" s="71">
        <f>IFERROR(VLOOKUP("At-218",$A$4:$R$32,15)/$B68,0)</f>
        <v>0</v>
      </c>
      <c r="P68" s="71">
        <f>IFERROR(VLOOKUP("At-218",$A$4:$R$32,16)/$B68,0)</f>
        <v>0</v>
      </c>
      <c r="Q68" s="71">
        <f>IFERROR(VLOOKUP("At-218",$A$4:$R$32,17)/$B68,0)</f>
        <v>0</v>
      </c>
      <c r="R68" s="95">
        <f t="shared" si="33"/>
        <v>0</v>
      </c>
    </row>
    <row r="69" spans="1:18">
      <c r="A69" s="31" t="s">
        <v>196</v>
      </c>
      <c r="B69" s="32">
        <v>1.9999999999999999E-7</v>
      </c>
      <c r="C69" s="70">
        <f>IFERROR(VLOOKUP("Rn-218",$A$4:$L$32,3)/$B69,0)</f>
        <v>13802369146939.379</v>
      </c>
      <c r="D69" s="71">
        <f>IFERROR(VLOOKUP("Rn-218",$A$4:$L$32,4)/$B69,0)</f>
        <v>99569339201270.313</v>
      </c>
      <c r="E69" s="71">
        <f>IFERROR(VLOOKUP("Rn-218",$A$4:$L$32,5)/$B69,0)</f>
        <v>72256612175045.469</v>
      </c>
      <c r="F69" s="71">
        <f>IFERROR(VLOOKUP("Rn-218",$A$4:$L$32,6)/$B69,0)</f>
        <v>23072785950501.176</v>
      </c>
      <c r="G69" s="71">
        <f>IFERROR(VLOOKUP("Rn-218",$A$4:$L$32,7)/$B69,0)</f>
        <v>18764643893225.016</v>
      </c>
      <c r="H69" s="70">
        <f>IFERROR(VLOOKUP("Rn-218",$A$4:$L$32,8)/$B69,0)</f>
        <v>510687658436.75757</v>
      </c>
      <c r="I69" s="71">
        <f>IFERROR(VLOOKUP("Rn-218",$A$4:$L$32,9)/$B69,0)</f>
        <v>3684065550447.0054</v>
      </c>
      <c r="J69" s="71">
        <f>IFERROR(VLOOKUP("Rn-218",$A$4:$L$32,10)/$B69,0)</f>
        <v>2673494650476.6851</v>
      </c>
      <c r="K69" s="71">
        <f>IFERROR(VLOOKUP("Rn-218",$A$4:$L$32,11)/$B69,0)</f>
        <v>853693080168.54431</v>
      </c>
      <c r="L69" s="71">
        <f>IFERROR(VLOOKUP("Rn-218",$A$4:$L$32,12)/$B69,0)</f>
        <v>694291824049.32629</v>
      </c>
      <c r="M69" s="70">
        <f>IFERROR(VLOOKUP("Rn-218",$A$4:$R$32,13)/$B69,0)</f>
        <v>9.3503873178343265E-6</v>
      </c>
      <c r="N69" s="71">
        <f>IFERROR(VLOOKUP("Rn-218",$A$4:$R$32,14)/$B69,0)</f>
        <v>6.7453049299087222E-8</v>
      </c>
      <c r="O69" s="71">
        <f>IFERROR(VLOOKUP("Rn-218",$A$4:$R$32,15)/$B69,0)</f>
        <v>4.8950097111482942E-5</v>
      </c>
      <c r="P69" s="71">
        <f>IFERROR(VLOOKUP("Rn-218",$A$4:$R$32,16)/$B69,0)</f>
        <v>1.5630612602946619E-5</v>
      </c>
      <c r="Q69" s="71">
        <f>IFERROR(VLOOKUP("Rn-218",$A$4:$R$32,17)/$B69,0)</f>
        <v>1.2712070400015014E-5</v>
      </c>
      <c r="R69" s="95">
        <f>IF(D69&lt;&gt;".",D69*2.22*100,".")</f>
        <v>2.2104393302682012E+16</v>
      </c>
    </row>
    <row r="70" spans="1:18">
      <c r="A70" s="31" t="s">
        <v>193</v>
      </c>
      <c r="B70" s="32">
        <v>0.99980000000000002</v>
      </c>
      <c r="C70" s="70">
        <f>IFERROR(VLOOKUP("Pb-214",$A$4:$L$32,3)/$B70,0)</f>
        <v>13.499680781245738</v>
      </c>
      <c r="D70" s="71">
        <f>IFERROR(VLOOKUP("Pb-214",$A$4:$L$32,4)/$B70,0)</f>
        <v>49.959270978277765</v>
      </c>
      <c r="E70" s="71">
        <f>IFERROR(VLOOKUP("Pb-214",$A$4:$L$32,5)/$B70,0)</f>
        <v>48.801963680889699</v>
      </c>
      <c r="F70" s="71">
        <f>IFERROR(VLOOKUP("Pb-214",$A$4:$L$32,6)/$B70,0)</f>
        <v>17.527402558883107</v>
      </c>
      <c r="G70" s="71">
        <f>IFERROR(VLOOKUP("Pb-214",$A$4:$L$32,7)/$B70,0)</f>
        <v>13.773812695931717</v>
      </c>
      <c r="H70" s="70">
        <f>IFERROR(VLOOKUP("Pb-214",$A$4:$L$32,8)/$B70,0)</f>
        <v>0.49948818890609281</v>
      </c>
      <c r="I70" s="71">
        <f>IFERROR(VLOOKUP("Pb-214",$A$4:$L$32,9)/$B70,0)</f>
        <v>1.8484930261962793</v>
      </c>
      <c r="J70" s="71">
        <f>IFERROR(VLOOKUP("Pb-214",$A$4:$L$32,10)/$B70,0)</f>
        <v>1.8056726561929208</v>
      </c>
      <c r="K70" s="71">
        <f>IFERROR(VLOOKUP("Pb-214",$A$4:$L$32,11)/$B70,0)</f>
        <v>0.6485138946786756</v>
      </c>
      <c r="L70" s="71">
        <f>IFERROR(VLOOKUP("Pb-214",$A$4:$L$32,12)/$B70,0)</f>
        <v>0.50963106974947403</v>
      </c>
      <c r="M70" s="70">
        <f>IFERROR(VLOOKUP("Pb-214",$A$4:$R$32,13)/$B70,0)</f>
        <v>4.1245326066681811E-13</v>
      </c>
      <c r="N70" s="71">
        <f>IFERROR(VLOOKUP("Pb-214",$A$4:$R$32,14)/$B70,0)</f>
        <v>1.5263964051767979E-15</v>
      </c>
      <c r="O70" s="71">
        <f>IFERROR(VLOOKUP("Pb-214",$A$4:$R$32,15)/$B70,0)</f>
        <v>1.4910374084615316E-12</v>
      </c>
      <c r="P70" s="71">
        <f>IFERROR(VLOOKUP("Pb-214",$A$4:$R$32,16)/$B70,0)</f>
        <v>5.3551150235155126E-13</v>
      </c>
      <c r="Q70" s="71">
        <f>IFERROR(VLOOKUP("Pb-214",$A$4:$R$32,17)/$B70,0)</f>
        <v>4.2082876256921461E-13</v>
      </c>
      <c r="R70" s="95">
        <f>IF(D70&lt;&gt;".",D70*2.22*100,".")</f>
        <v>11090.958157177663</v>
      </c>
    </row>
    <row r="71" spans="1:18">
      <c r="A71" s="31" t="s">
        <v>195</v>
      </c>
      <c r="B71" s="32">
        <v>0.99999979999999999</v>
      </c>
      <c r="C71" s="70">
        <f>IFERROR(VLOOKUP("Bi-214",$A$4:$L$32,3)/$B71,0)</f>
        <v>1.1863810977598663</v>
      </c>
      <c r="D71" s="71">
        <f>IFERROR(VLOOKUP("Bi-214",$A$4:$L$32,4)/$B71,0)</f>
        <v>9.520183261361062</v>
      </c>
      <c r="E71" s="71">
        <f>IFERROR(VLOOKUP("Bi-214",$A$4:$L$32,5)/$B71,0)</f>
        <v>7.3265979149704616</v>
      </c>
      <c r="F71" s="71">
        <f>IFERROR(VLOOKUP("Bi-214",$A$4:$L$32,6)/$B71,0)</f>
        <v>2.439992324417676</v>
      </c>
      <c r="G71" s="71">
        <f>IFERROR(VLOOKUP("Bi-214",$A$4:$L$32,7)/$B71,0)</f>
        <v>1.7997606138196969</v>
      </c>
      <c r="H71" s="70">
        <f>IFERROR(VLOOKUP("Bi-214",$A$4:$L$32,8)/$B71,0)</f>
        <v>4.3896100617115096E-2</v>
      </c>
      <c r="I71" s="71">
        <f>IFERROR(VLOOKUP("Bi-214",$A$4:$L$32,9)/$B71,0)</f>
        <v>0.35224678067035964</v>
      </c>
      <c r="J71" s="71">
        <f>IFERROR(VLOOKUP("Bi-214",$A$4:$L$32,10)/$B71,0)</f>
        <v>0.27108412285390737</v>
      </c>
      <c r="K71" s="71">
        <f>IFERROR(VLOOKUP("Bi-214",$A$4:$L$32,11)/$B71,0)</f>
        <v>9.0279716003454108E-2</v>
      </c>
      <c r="L71" s="71">
        <f>IFERROR(VLOOKUP("Bi-214",$A$4:$L$32,12)/$B71,0)</f>
        <v>6.6591142711328863E-2</v>
      </c>
      <c r="M71" s="70">
        <f>IFERROR(VLOOKUP("Bi-214",$A$4:$R$32,13)/$B71,0)</f>
        <v>2.6914960274308402E-14</v>
      </c>
      <c r="N71" s="71">
        <f>IFERROR(VLOOKUP("Bi-214",$A$4:$R$32,14)/$B71,0)</f>
        <v>2.1598064464065913E-16</v>
      </c>
      <c r="O71" s="71">
        <f>IFERROR(VLOOKUP("Bi-214",$A$4:$R$32,15)/$B71,0)</f>
        <v>1.6621563863383024E-13</v>
      </c>
      <c r="P71" s="71">
        <f>IFERROR(VLOOKUP("Bi-214",$A$4:$R$32,16)/$B71,0)</f>
        <v>5.5355143979722949E-14</v>
      </c>
      <c r="Q71" s="71">
        <f>IFERROR(VLOOKUP("Bi-214",$A$4:$R$32,17)/$B71,0)</f>
        <v>4.083045955105635E-14</v>
      </c>
      <c r="R71" s="95">
        <f t="shared" ref="R71:R75" si="36">IF(D71&lt;&gt;".",D71*2.22*100,".")</f>
        <v>2113.4806840221563</v>
      </c>
    </row>
    <row r="72" spans="1:18">
      <c r="A72" s="31" t="s">
        <v>197</v>
      </c>
      <c r="B72" s="32">
        <v>0.99979000004200003</v>
      </c>
      <c r="C72" s="70">
        <f>IFERROR(VLOOKUP("Po-214",$A$4:$L$32,3)/$B72,0)</f>
        <v>268306758.53498775</v>
      </c>
      <c r="D72" s="71">
        <f>IFERROR(VLOOKUP("Po-214",$A$4:$L$32,4)/$B72,0)</f>
        <v>2255369153.4234805</v>
      </c>
      <c r="E72" s="71">
        <f>IFERROR(VLOOKUP("Po-214",$A$4:$L$32,5)/$B72,0)</f>
        <v>1598617282.0513182</v>
      </c>
      <c r="F72" s="71">
        <f>IFERROR(VLOOKUP("Po-214",$A$4:$L$32,6)/$B72,0)</f>
        <v>544982136.10955262</v>
      </c>
      <c r="G72" s="71">
        <f>IFERROR(VLOOKUP("Po-214",$A$4:$L$32,7)/$B72,0)</f>
        <v>397671253.70862782</v>
      </c>
      <c r="H72" s="70">
        <f>IFERROR(VLOOKUP("Po-214",$A$4:$L$32,8)/$B72,0)</f>
        <v>9927350.0657945573</v>
      </c>
      <c r="I72" s="71">
        <f>IFERROR(VLOOKUP("Po-214",$A$4:$L$32,9)/$B72,0)</f>
        <v>83448658.676668853</v>
      </c>
      <c r="J72" s="71">
        <f>IFERROR(VLOOKUP("Po-214",$A$4:$L$32,10)/$B72,0)</f>
        <v>59148839.435898833</v>
      </c>
      <c r="K72" s="71">
        <f>IFERROR(VLOOKUP("Po-214",$A$4:$L$32,11)/$B72,0)</f>
        <v>20164339.036053468</v>
      </c>
      <c r="L72" s="71">
        <f>IFERROR(VLOOKUP("Po-214",$A$4:$L$32,12)/$B72,0)</f>
        <v>14713836.387219245</v>
      </c>
      <c r="M72" s="70">
        <f>IFERROR(VLOOKUP("Po-214",$A$4:$R$32,13)/$B72,0)</f>
        <v>8.3759557382157364E-13</v>
      </c>
      <c r="N72" s="71">
        <f>IFERROR(VLOOKUP("Po-214",$A$4:$R$32,14)/$B72,0)</f>
        <v>7.0407738908853318E-15</v>
      </c>
      <c r="O72" s="71">
        <f>IFERROR(VLOOKUP("Po-214",$A$4:$R$32,15)/$B72,0)</f>
        <v>4.9905368280398743E-12</v>
      </c>
      <c r="P72" s="71">
        <f>IFERROR(VLOOKUP("Po-214",$A$4:$R$32,16)/$B72,0)</f>
        <v>1.7013161632962087E-12</v>
      </c>
      <c r="Q72" s="71">
        <f>IFERROR(VLOOKUP("Po-214",$A$4:$R$32,17)/$B72,0)</f>
        <v>1.2414435020614185E-12</v>
      </c>
      <c r="R72" s="95">
        <f t="shared" si="36"/>
        <v>500691952060.0127</v>
      </c>
    </row>
    <row r="73" spans="1:18">
      <c r="A73" s="31" t="s">
        <v>198</v>
      </c>
      <c r="B73" s="32">
        <v>2.0999995799999999E-4</v>
      </c>
      <c r="C73" s="70">
        <f>IFERROR(VLOOKUP("Tl-210",$A$4:$L$32,3)/$B73,0)</f>
        <v>1278.9576273112077</v>
      </c>
      <c r="D73" s="71">
        <f>IFERROR(VLOOKUP("Tl-210",$A$4:$L$32,4)/$B73,0)</f>
        <v>8441.7629669896542</v>
      </c>
      <c r="E73" s="71">
        <f>IFERROR(VLOOKUP("Tl-210",$A$4:$L$32,5)/$B73,0)</f>
        <v>7139.6163774695578</v>
      </c>
      <c r="F73" s="71">
        <f>IFERROR(VLOOKUP("Tl-210",$A$4:$L$32,6)/$B73,0)</f>
        <v>2443.4724612192003</v>
      </c>
      <c r="G73" s="71">
        <f>IFERROR(VLOOKUP("Tl-210",$A$4:$L$32,7)/$B73,0)</f>
        <v>1778.0020964648108</v>
      </c>
      <c r="H73" s="70">
        <f>IFERROR(VLOOKUP("Tl-210",$A$4:$L$32,8)/$B73,0)</f>
        <v>47.321432210514736</v>
      </c>
      <c r="I73" s="71">
        <f>IFERROR(VLOOKUP("Tl-210",$A$4:$L$32,9)/$B73,0)</f>
        <v>312.34522977861752</v>
      </c>
      <c r="J73" s="71">
        <f>IFERROR(VLOOKUP("Tl-210",$A$4:$L$32,10)/$B73,0)</f>
        <v>264.16580596637391</v>
      </c>
      <c r="K73" s="71">
        <f>IFERROR(VLOOKUP("Tl-210",$A$4:$L$32,11)/$B73,0)</f>
        <v>90.408481065110507</v>
      </c>
      <c r="L73" s="71">
        <f>IFERROR(VLOOKUP("Tl-210",$A$4:$L$32,12)/$B73,0)</f>
        <v>65.786077569198071</v>
      </c>
      <c r="M73" s="70">
        <f>IFERROR(VLOOKUP("Tl-210",$A$4:$R$32,13)/$B73,0)</f>
        <v>1.860036549308737E-12</v>
      </c>
      <c r="N73" s="71">
        <f>IFERROR(VLOOKUP("Tl-210",$A$4:$R$32,14)/$B73,0)</f>
        <v>1.2277175821854631E-14</v>
      </c>
      <c r="O73" s="71">
        <f>IFERROR(VLOOKUP("Tl-210",$A$4:$R$32,15)/$B73,0)</f>
        <v>1.0383414685954426E-11</v>
      </c>
      <c r="P73" s="71">
        <f>IFERROR(VLOOKUP("Tl-210",$A$4:$R$32,16)/$B73,0)</f>
        <v>3.5536346068415687E-12</v>
      </c>
      <c r="Q73" s="71">
        <f>IFERROR(VLOOKUP("Tl-210",$A$4:$R$32,17)/$B73,0)</f>
        <v>2.5858158343563179E-12</v>
      </c>
      <c r="R73" s="95">
        <f t="shared" si="36"/>
        <v>1874071.3786717034</v>
      </c>
    </row>
    <row r="74" spans="1:18">
      <c r="A74" s="31" t="s">
        <v>199</v>
      </c>
      <c r="B74" s="32">
        <v>1</v>
      </c>
      <c r="C74" s="70">
        <f>IFERROR(VLOOKUP("Pb-210",$A$4:$L$32,3)/$B74,0)</f>
        <v>51027.421298933739</v>
      </c>
      <c r="D74" s="71">
        <f>IFERROR(VLOOKUP("Pb-210",$A$4:$L$32,4)/$B74,0)</f>
        <v>9274.027886807824</v>
      </c>
      <c r="E74" s="71">
        <f>IFERROR(VLOOKUP("Pb-210",$A$4:$L$32,5)/$B74,0)</f>
        <v>36201.619477710665</v>
      </c>
      <c r="F74" s="71">
        <f>IFERROR(VLOOKUP("Pb-210",$A$4:$L$32,6)/$B74,0)</f>
        <v>23691.843860369183</v>
      </c>
      <c r="G74" s="71">
        <f>IFERROR(VLOOKUP("Pb-210",$A$4:$L$32,7)/$B74,0)</f>
        <v>24761.207919257478</v>
      </c>
      <c r="H74" s="70">
        <f>IFERROR(VLOOKUP("Pb-210",$A$4:$L$32,8)/$B74,0)</f>
        <v>1888.0145880605503</v>
      </c>
      <c r="I74" s="71">
        <f>IFERROR(VLOOKUP("Pb-210",$A$4:$L$32,9)/$B74,0)</f>
        <v>343.13903181188982</v>
      </c>
      <c r="J74" s="71">
        <f>IFERROR(VLOOKUP("Pb-210",$A$4:$L$32,10)/$B74,0)</f>
        <v>1339.459920675296</v>
      </c>
      <c r="K74" s="71">
        <f>IFERROR(VLOOKUP("Pb-210",$A$4:$L$32,11)/$B74,0)</f>
        <v>876.59822283366066</v>
      </c>
      <c r="L74" s="71">
        <f>IFERROR(VLOOKUP("Pb-210",$A$4:$L$32,12)/$B74,0)</f>
        <v>916.16469301252766</v>
      </c>
      <c r="M74" s="70">
        <f>IFERROR(VLOOKUP("Pb-210",$A$4:$R$32,13)/$B74,0)</f>
        <v>6.6609154666776135E-4</v>
      </c>
      <c r="N74" s="71">
        <f>IFERROR(VLOOKUP("Pb-210",$A$4:$R$32,14)/$B74,0)</f>
        <v>1.2105945042323461E-7</v>
      </c>
      <c r="O74" s="71">
        <f>IFERROR(VLOOKUP("Pb-210",$A$4:$R$32,15)/$B74,0)</f>
        <v>4.7256146001424385E-4</v>
      </c>
      <c r="P74" s="71">
        <f>IFERROR(VLOOKUP("Pb-210",$A$4:$R$32,16)/$B74,0)</f>
        <v>3.0926385301571513E-4</v>
      </c>
      <c r="Q74" s="71">
        <f>IFERROR(VLOOKUP("Pb-210",$A$4:$R$32,17)/$B74,0)</f>
        <v>3.2322290369481941E-4</v>
      </c>
      <c r="R74" s="95">
        <f t="shared" si="36"/>
        <v>2058834.190871337</v>
      </c>
    </row>
    <row r="75" spans="1:18">
      <c r="A75" s="31" t="s">
        <v>200</v>
      </c>
      <c r="B75" s="32">
        <v>1</v>
      </c>
      <c r="C75" s="70">
        <f>IFERROR(VLOOKUP("Bi-210",$A$4:$L$32,3)/$B75,0)</f>
        <v>2329544549.1619167</v>
      </c>
      <c r="D75" s="71">
        <f>IFERROR(VLOOKUP("Bi-210",$A$4:$L$32,4)/$B75,0)</f>
        <v>306143795.49569964</v>
      </c>
      <c r="E75" s="71">
        <f>IFERROR(VLOOKUP("Bi-210",$A$4:$L$32,5)/$B75,0)</f>
        <v>3440114649.0533895</v>
      </c>
      <c r="F75" s="71">
        <f>IFERROR(VLOOKUP("Bi-210",$A$4:$L$32,6)/$B75,0)</f>
        <v>2377188904.0100951</v>
      </c>
      <c r="G75" s="71">
        <f>IFERROR(VLOOKUP("Bi-210",$A$4:$L$32,7)/$B75,0)</f>
        <v>2375492376.9149351</v>
      </c>
      <c r="H75" s="70">
        <f>IFERROR(VLOOKUP("Bi-210",$A$4:$L$32,8)/$B75,0)</f>
        <v>86193148.318991005</v>
      </c>
      <c r="I75" s="71">
        <f>IFERROR(VLOOKUP("Bi-210",$A$4:$L$32,9)/$B75,0)</f>
        <v>11327320.433340898</v>
      </c>
      <c r="J75" s="71">
        <f>IFERROR(VLOOKUP("Bi-210",$A$4:$L$32,10)/$B75,0)</f>
        <v>127284242.01497555</v>
      </c>
      <c r="K75" s="71">
        <f>IFERROR(VLOOKUP("Bi-210",$A$4:$L$32,11)/$B75,0)</f>
        <v>87955989.448373616</v>
      </c>
      <c r="L75" s="71">
        <f>IFERROR(VLOOKUP("Bi-210",$A$4:$L$32,12)/$B75,0)</f>
        <v>87893217.945852682</v>
      </c>
      <c r="M75" s="70">
        <f>IFERROR(VLOOKUP("Bi-210",$A$4:$R$32,13)/$B75,0)</f>
        <v>1.8812789076903001E-2</v>
      </c>
      <c r="N75" s="71">
        <f>IFERROR(VLOOKUP("Bi-210",$A$4:$R$32,14)/$B75,0)</f>
        <v>2.472336772411221E-6</v>
      </c>
      <c r="O75" s="71">
        <f>IFERROR(VLOOKUP("Bi-210",$A$4:$R$32,15)/$B75,0)</f>
        <v>2.7781461108476672E-2</v>
      </c>
      <c r="P75" s="71">
        <f>IFERROR(VLOOKUP("Bi-210",$A$4:$R$32,16)/$B75,0)</f>
        <v>1.919755235553889E-2</v>
      </c>
      <c r="Q75" s="71">
        <f>IFERROR(VLOOKUP("Bi-210",$A$4:$R$32,17)/$B75,0)</f>
        <v>1.9183851648928243E-2</v>
      </c>
      <c r="R75" s="95">
        <f t="shared" si="36"/>
        <v>67963922600.045326</v>
      </c>
    </row>
    <row r="76" spans="1:18">
      <c r="A76" s="31" t="s">
        <v>202</v>
      </c>
      <c r="B76" s="32">
        <v>1</v>
      </c>
      <c r="C76" s="70">
        <f>IFERROR(VLOOKUP("Po-210",$A$4:$L$32,3)/$B76,0)</f>
        <v>19634159050.967266</v>
      </c>
      <c r="D76" s="71">
        <f>IFERROR(VLOOKUP("Po-210",$A$4:$L$32,4)/$B76,0)</f>
        <v>165604621688.10611</v>
      </c>
      <c r="E76" s="71">
        <f>IFERROR(VLOOKUP("Po-210",$A$4:$L$32,5)/$B76,0)</f>
        <v>117346325616.99806</v>
      </c>
      <c r="F76" s="71">
        <f>IFERROR(VLOOKUP("Po-210",$A$4:$L$32,6)/$B76,0)</f>
        <v>39958126190.326263</v>
      </c>
      <c r="G76" s="71">
        <f>IFERROR(VLOOKUP("Po-210",$A$4:$L$32,7)/$B76,0)</f>
        <v>29305140731.717205</v>
      </c>
      <c r="H76" s="70">
        <f>IFERROR(VLOOKUP("Po-210",$A$4:$L$32,8)/$B76,0)</f>
        <v>726463884.88578963</v>
      </c>
      <c r="I76" s="71">
        <f>IFERROR(VLOOKUP("Po-210",$A$4:$L$32,9)/$B76,0)</f>
        <v>6127371002.4599323</v>
      </c>
      <c r="J76" s="71">
        <f>IFERROR(VLOOKUP("Po-210",$A$4:$L$32,10)/$B76,0)</f>
        <v>4341814047.8289328</v>
      </c>
      <c r="K76" s="71">
        <f>IFERROR(VLOOKUP("Po-210",$A$4:$L$32,11)/$B76,0)</f>
        <v>1478450669.0420732</v>
      </c>
      <c r="L76" s="71">
        <f>IFERROR(VLOOKUP("Po-210",$A$4:$L$32,12)/$B76,0)</f>
        <v>1084290207.0735376</v>
      </c>
      <c r="M76" s="70">
        <f>IFERROR(VLOOKUP("Po-210",$A$4:$R$32,13)/$B76,0)</f>
        <v>4.3768084355833805</v>
      </c>
      <c r="N76" s="71">
        <f>IFERROR(VLOOKUP("Po-210",$A$4:$R$32,14)/$B76,0)</f>
        <v>3.6916259224272177E-2</v>
      </c>
      <c r="O76" s="71">
        <f>IFERROR(VLOOKUP("Po-210",$A$4:$R$32,15)/$B76,0)</f>
        <v>26.158614000831825</v>
      </c>
      <c r="P76" s="71">
        <f>IFERROR(VLOOKUP("Po-210",$A$4:$R$32,16)/$B76,0)</f>
        <v>8.907387544632801</v>
      </c>
      <c r="Q76" s="71">
        <f>IFERROR(VLOOKUP("Po-210",$A$4:$R$32,17)/$B76,0)</f>
        <v>6.5326448068179017</v>
      </c>
      <c r="R76" s="95">
        <f>IF(D76&lt;&gt;".",D76*2.22*100,".")</f>
        <v>36764226014759.555</v>
      </c>
    </row>
    <row r="77" spans="1:18">
      <c r="A77" s="31" t="s">
        <v>201</v>
      </c>
      <c r="B77" s="34">
        <v>1.9000000000000001E-8</v>
      </c>
      <c r="C77" s="70">
        <f>IFERROR(VLOOKUP("Hg-206",$A$4:$L$32,3)/$B77,0)</f>
        <v>3171730678.4215393</v>
      </c>
      <c r="D77" s="71">
        <f>IFERROR(VLOOKUP("Hg-206",$A$4:$L$32,4)/$B77,0)</f>
        <v>10352675184.458937</v>
      </c>
      <c r="E77" s="71">
        <f>IFERROR(VLOOKUP("Hg-206",$A$4:$L$32,5)/$B77,0)</f>
        <v>11438721790.241459</v>
      </c>
      <c r="F77" s="71">
        <f>IFERROR(VLOOKUP("Hg-206",$A$4:$L$32,6)/$B77,0)</f>
        <v>4143647963.0084009</v>
      </c>
      <c r="G77" s="71">
        <f>IFERROR(VLOOKUP("Hg-206",$A$4:$L$32,7)/$B77,0)</f>
        <v>3309393059.1765943</v>
      </c>
      <c r="H77" s="70">
        <f>IFERROR(VLOOKUP("Hg-206",$A$4:$L$32,8)/$B77,0)</f>
        <v>117354035.10159707</v>
      </c>
      <c r="I77" s="71">
        <f>IFERROR(VLOOKUP("Hg-206",$A$4:$L$32,9)/$B77,0)</f>
        <v>383048981.82498097</v>
      </c>
      <c r="J77" s="71">
        <f>IFERROR(VLOOKUP("Hg-206",$A$4:$L$32,10)/$B77,0)</f>
        <v>423232706.23893446</v>
      </c>
      <c r="K77" s="71">
        <f>IFERROR(VLOOKUP("Hg-206",$A$4:$L$32,11)/$B77,0)</f>
        <v>153314974.631311</v>
      </c>
      <c r="L77" s="71">
        <f>IFERROR(VLOOKUP("Hg-206",$A$4:$L$32,12)/$B77,0)</f>
        <v>122447543.1895341</v>
      </c>
      <c r="M77" s="70">
        <f>IFERROR(VLOOKUP("Hg-206",$A$4:$R$32,13)/$B77,0)</f>
        <v>2.8367679187225068E-5</v>
      </c>
      <c r="N77" s="71">
        <f>IFERROR(VLOOKUP("Hg-206",$A$4:$R$32,14)/$B77,0)</f>
        <v>9.2593412915005845E-8</v>
      </c>
      <c r="O77" s="71">
        <f>IFERROR(VLOOKUP("Hg-206",$A$4:$R$32,15)/$B77,0)</f>
        <v>1.0230691788086431E-4</v>
      </c>
      <c r="P77" s="71">
        <f>IFERROR(VLOOKUP("Hg-206",$A$4:$R$32,16)/$B77,0)</f>
        <v>3.706042157965297E-5</v>
      </c>
      <c r="Q77" s="71">
        <f>IFERROR(VLOOKUP("Hg-206",$A$4:$R$32,17)/$B77,0)</f>
        <v>2.9598919367854931E-5</v>
      </c>
      <c r="R77" s="95">
        <f t="shared" ref="R77:R78" si="37">IF(D77&lt;&gt;".",D77*2.22*100,".")</f>
        <v>2298293890949.8838</v>
      </c>
    </row>
    <row r="78" spans="1:18">
      <c r="A78" s="31" t="s">
        <v>203</v>
      </c>
      <c r="B78" s="32">
        <v>1.339E-6</v>
      </c>
      <c r="C78" s="70">
        <f>IFERROR(VLOOKUP("Tl-206",$A$4:$L$32,3)/$B78,0)</f>
        <v>1382721606267.4902</v>
      </c>
      <c r="D78" s="71">
        <f>IFERROR(VLOOKUP("Tl-206",$A$4:$L$32,4)/$B78,0)</f>
        <v>109619691615.33549</v>
      </c>
      <c r="E78" s="71">
        <f>IFERROR(VLOOKUP("Tl-206",$A$4:$L$32,5)/$B78,0)</f>
        <v>1278369105484.6147</v>
      </c>
      <c r="F78" s="71">
        <f>IFERROR(VLOOKUP("Tl-206",$A$4:$L$32,6)/$B78,0)</f>
        <v>1157236059431.5098</v>
      </c>
      <c r="G78" s="71">
        <f>IFERROR(VLOOKUP("Tl-206",$A$4:$L$32,7)/$B78,0)</f>
        <v>937320469019.32214</v>
      </c>
      <c r="H78" s="70">
        <f>IFERROR(VLOOKUP("Tl-206",$A$4:$L$32,8)/$B78,0)</f>
        <v>51160699431.897194</v>
      </c>
      <c r="I78" s="71">
        <f>IFERROR(VLOOKUP("Tl-206",$A$4:$L$32,9)/$B78,0)</f>
        <v>4055928589.7674174</v>
      </c>
      <c r="J78" s="71">
        <f>IFERROR(VLOOKUP("Tl-206",$A$4:$L$32,10)/$B78,0)</f>
        <v>47299656902.930786</v>
      </c>
      <c r="K78" s="71">
        <f>IFERROR(VLOOKUP("Tl-206",$A$4:$L$32,11)/$B78,0)</f>
        <v>42817734198.965912</v>
      </c>
      <c r="L78" s="71">
        <f>IFERROR(VLOOKUP("Tl-206",$A$4:$L$32,12)/$B78,0)</f>
        <v>34680857353.714958</v>
      </c>
      <c r="M78" s="70">
        <f>IFERROR(VLOOKUP("Tl-206",$A$4:$R$32,13)/$B78,0)</f>
        <v>6.373146983408259E-3</v>
      </c>
      <c r="N78" s="71">
        <f>IFERROR(VLOOKUP("Tl-206",$A$4:$R$32,14)/$B78,0)</f>
        <v>5.0525167450465745E-7</v>
      </c>
      <c r="O78" s="71">
        <f>IFERROR(VLOOKUP("Tl-206",$A$4:$R$32,15)/$B78,0)</f>
        <v>5.8921724889323011E-3</v>
      </c>
      <c r="P78" s="71">
        <f>IFERROR(VLOOKUP("Tl-206",$A$4:$R$32,16)/$B78,0)</f>
        <v>5.3338542392245185E-3</v>
      </c>
      <c r="Q78" s="71">
        <f>IFERROR(VLOOKUP("Tl-206",$A$4:$R$32,17)/$B78,0)</f>
        <v>4.3202341617721756E-3</v>
      </c>
      <c r="R78" s="95">
        <f t="shared" si="37"/>
        <v>24335571538604.484</v>
      </c>
    </row>
  </sheetData>
  <sheetProtection algorithmName="SHA-512" hashValue="UhAIuDX2lukD6E5UfqGQrFEx5MgrYesjavURW1e5Opn6MnOt491s5MEu2Qbp6+cxPTe05u960JRm5bJEFk5+fg==" saltValue="iOeZBtJ6D2ETp60v5VXlbQ==" spinCount="100000" sheet="1" formatCells="0" formatColumns="0" formatRows="0" insertColumns="0" insertRows="0" autoFilter="0"/>
  <autoFilter ref="A2:Q78" xr:uid="{00000000-0009-0000-0000-00000D000000}"/>
  <mergeCells count="3">
    <mergeCell ref="C1:G1"/>
    <mergeCell ref="H1:L1"/>
    <mergeCell ref="M1:Q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499984740745262"/>
  </sheetPr>
  <dimension ref="A1:L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7109375" style="22" bestFit="1" customWidth="1"/>
    <col min="4" max="4" width="13.85546875" style="22" bestFit="1" customWidth="1"/>
    <col min="5" max="5" width="13.42578125" style="22" bestFit="1" customWidth="1"/>
    <col min="6" max="6" width="13.7109375" style="22" bestFit="1" customWidth="1"/>
    <col min="7" max="7" width="13.85546875" style="22" bestFit="1" customWidth="1"/>
    <col min="8" max="8" width="13.42578125" style="22" bestFit="1" customWidth="1"/>
    <col min="9" max="9" width="13.7109375" style="22" bestFit="1" customWidth="1"/>
    <col min="10" max="10" width="13.85546875" style="22" bestFit="1" customWidth="1"/>
    <col min="11" max="11" width="13.42578125" style="22" bestFit="1" customWidth="1"/>
    <col min="12" max="12" width="11.28515625" bestFit="1" customWidth="1"/>
  </cols>
  <sheetData>
    <row r="1" spans="1:12" ht="13.5" thickBot="1">
      <c r="C1" s="146" t="s">
        <v>61</v>
      </c>
      <c r="D1" s="147"/>
      <c r="E1" s="147"/>
      <c r="F1" s="146" t="s">
        <v>138</v>
      </c>
      <c r="G1" s="147"/>
      <c r="H1" s="147"/>
      <c r="I1" s="146" t="s">
        <v>139</v>
      </c>
      <c r="J1" s="147"/>
      <c r="K1" s="147"/>
      <c r="L1" s="65" t="s">
        <v>252</v>
      </c>
    </row>
    <row r="2" spans="1:12">
      <c r="A2" s="11" t="s">
        <v>0</v>
      </c>
      <c r="B2" s="11" t="s">
        <v>43</v>
      </c>
      <c r="C2" s="35" t="s">
        <v>159</v>
      </c>
      <c r="D2" s="36" t="s">
        <v>160</v>
      </c>
      <c r="E2" s="38" t="s">
        <v>161</v>
      </c>
      <c r="F2" s="35" t="s">
        <v>159</v>
      </c>
      <c r="G2" s="36" t="s">
        <v>160</v>
      </c>
      <c r="H2" s="36" t="s">
        <v>161</v>
      </c>
      <c r="I2" s="35" t="s">
        <v>159</v>
      </c>
      <c r="J2" s="36" t="s">
        <v>160</v>
      </c>
      <c r="K2" s="37" t="s">
        <v>161</v>
      </c>
      <c r="L2" s="66" t="s">
        <v>161</v>
      </c>
    </row>
    <row r="3" spans="1:12" ht="13.5" thickBot="1">
      <c r="B3" s="26" t="s">
        <v>44</v>
      </c>
      <c r="C3" s="27" t="s">
        <v>140</v>
      </c>
      <c r="D3" s="28" t="s">
        <v>140</v>
      </c>
      <c r="E3" s="39" t="s">
        <v>140</v>
      </c>
      <c r="F3" s="27" t="s">
        <v>141</v>
      </c>
      <c r="G3" s="28" t="s">
        <v>141</v>
      </c>
      <c r="H3" s="28" t="s">
        <v>141</v>
      </c>
      <c r="I3" s="27" t="s">
        <v>142</v>
      </c>
      <c r="J3" s="28" t="s">
        <v>142</v>
      </c>
      <c r="K3" s="29" t="s">
        <v>142</v>
      </c>
      <c r="L3" s="79" t="s">
        <v>253</v>
      </c>
    </row>
    <row r="4" spans="1:12">
      <c r="A4" s="87" t="s">
        <v>23</v>
      </c>
      <c r="B4" s="12" t="s">
        <v>59</v>
      </c>
      <c r="C4" s="2">
        <f>IFERROR((s_DL)/(k_decay_iw*Doses!C2*s_IRDiw*s_Fin*s_Fi),".")</f>
        <v>0.42019091617321302</v>
      </c>
      <c r="D4" s="3">
        <f>IFERROR((s_DL)/(k_decay_iw*Doses!L2*s_Fin*s_Fi*s_Fam*s_Foff*s_ETiw*(1/24)*s_EFiw*(1/365)*Isospec!R3),".")</f>
        <v>1477.0633278354287</v>
      </c>
      <c r="E4" s="3">
        <f t="shared" ref="E4" si="0">IFERROR(IF(AND(ISNUMBER(C4),ISNUMBER(D4)),(1/((1/C4)+(1/D4))),IF(AND(ISNUMBER(C4),NOT(ISNUMBER(D4))),(1/(1/C4)),IF(AND(NOT(ISNUMBER(C4)),ISNUMBER(D4)),(1/(1/D4)),"."))),".")</f>
        <v>0.42007141541141524</v>
      </c>
      <c r="F4" s="2">
        <f t="shared" ref="F4" si="1">IFERROR(C4/_1_bq,".")</f>
        <v>1.5547063898408897E-2</v>
      </c>
      <c r="G4" s="3">
        <f t="shared" ref="G4" si="2">IFERROR(D4/_1_bq,".")</f>
        <v>54.65134312991092</v>
      </c>
      <c r="H4" s="5">
        <f t="shared" ref="H4" si="3">IFERROR(E4/_1_bq,".")</f>
        <v>1.5542642370222379E-2</v>
      </c>
      <c r="I4" s="2">
        <f>IFERROR(C4*Isospec!C3*Isospec!F3*SSLcm_m,".")</f>
        <v>7.2526103339487135E-15</v>
      </c>
      <c r="J4" s="3">
        <f>IFERROR(D4*Isospec!C3*Isospec!F3*SSLcm_m,".")</f>
        <v>2.549451771332421E-11</v>
      </c>
      <c r="K4" s="5">
        <f>IFERROR(E4*Isospec!C3*Isospec!F3*SSLcm_m,".")</f>
        <v>7.2505477180601483E-15</v>
      </c>
      <c r="L4" s="67">
        <f>IF(E4&lt;&gt;".",E4*2.22*100,".")</f>
        <v>93.255854221334189</v>
      </c>
    </row>
    <row r="5" spans="1:12">
      <c r="A5" s="88" t="s">
        <v>14</v>
      </c>
      <c r="B5" s="12" t="s">
        <v>44</v>
      </c>
      <c r="C5" s="2">
        <f>IFERROR((s_DL)/(k_decay_iw*Doses!C3*s_IRDiw*s_Fin*s_Fi),".")</f>
        <v>7.9506712570029531E-2</v>
      </c>
      <c r="D5" s="3">
        <f>IFERROR((s_DL)/(k_decay_iw*Doses!L3*s_Fin*s_Fi*s_Fam*s_Foff*s_ETiw*(1/24)*s_EFiw*(1/365)*Isospec!R4),".")</f>
        <v>980.97743950777374</v>
      </c>
      <c r="E5" s="3">
        <f>IFERROR(IF(AND(ISNUMBER(C5),ISNUMBER(D5)),(1/((1/C5)+(1/D5))),IF(AND(ISNUMBER(C5),NOT(ISNUMBER(D5))),(1/(1/C5)),IF(AND(NOT(ISNUMBER(C5)),ISNUMBER(D5)),(1/(1/D5)),"."))),".")</f>
        <v>7.9500269195495521E-2</v>
      </c>
      <c r="F5" s="2">
        <f>IFERROR(C5/_1_bq,".")</f>
        <v>2.9417483650910955E-3</v>
      </c>
      <c r="G5" s="3">
        <f>IFERROR(D5/_1_bq,".")</f>
        <v>36.296165261787664</v>
      </c>
      <c r="H5" s="5">
        <f>IFERROR(E5/_1_bq,".")</f>
        <v>2.9415099602333374E-3</v>
      </c>
      <c r="I5" s="2">
        <f>IFERROR(C5*Isospec!C4*Isospec!F4*SSLcm_m,".")</f>
        <v>2.3188018231383012E-11</v>
      </c>
      <c r="J5" s="3">
        <f>IFERROR(D5*Isospec!C4*Isospec!F4*SSLcm_m,".")</f>
        <v>2.8610065762492932E-7</v>
      </c>
      <c r="K5" s="5">
        <f>IFERROR(E5*Isospec!C4*Isospec!F4*SSLcm_m,".")</f>
        <v>2.3186139030478627E-11</v>
      </c>
      <c r="L5" s="67">
        <f>IF(E5&lt;&gt;".",E5*2.22*100,".")</f>
        <v>17.649059761400007</v>
      </c>
    </row>
    <row r="6" spans="1:12">
      <c r="A6" s="87" t="s">
        <v>15</v>
      </c>
      <c r="B6" s="12" t="s">
        <v>59</v>
      </c>
      <c r="C6" s="2" t="str">
        <f>IFERROR((s_DL)/(k_decay_iw*Doses!C4*s_IRDiw*s_Fin*s_Fi),".")</f>
        <v>.</v>
      </c>
      <c r="D6" s="3">
        <f>IFERROR((s_DL)/(k_decay_iw*Doses!L4*s_Fin*s_Fi*s_Fam*s_Foff*s_ETiw*(1/24)*s_EFiw*(1/365)*Isospec!R5),".")</f>
        <v>172715.41115562711</v>
      </c>
      <c r="E6" s="3">
        <f t="shared" ref="E6:E7" si="4">IFERROR(IF(AND(ISNUMBER(C6),ISNUMBER(D6)),(1/((1/C6)+(1/D6))),IF(AND(ISNUMBER(C6),NOT(ISNUMBER(D6))),(1/(1/C6)),IF(AND(NOT(ISNUMBER(C6)),ISNUMBER(D6)),(1/(1/D6)),"."))),".")</f>
        <v>172715.41115562711</v>
      </c>
      <c r="F6" s="2" t="str">
        <f t="shared" ref="F6:F7" si="5">IFERROR(C6/_1_bq,".")</f>
        <v>.</v>
      </c>
      <c r="G6" s="3">
        <f t="shared" ref="G6:G7" si="6">IFERROR(D6/_1_bq,".")</f>
        <v>6390.4702127582095</v>
      </c>
      <c r="H6" s="5">
        <f t="shared" ref="H6:H7" si="7">IFERROR(E6/_1_bq,".")</f>
        <v>6390.4702127582095</v>
      </c>
      <c r="I6" s="2" t="str">
        <f>IFERROR(C6*Isospec!C5*Isospec!F5*SSLcm_m,".")</f>
        <v>.</v>
      </c>
      <c r="J6" s="3">
        <f>IFERROR(D6*Isospec!C5*Isospec!F5*SSLcm_m,".")</f>
        <v>1.0748423539214071E-16</v>
      </c>
      <c r="K6" s="5">
        <f>IFERROR(E6*Isospec!C5*Isospec!F5*SSLcm_m,".")</f>
        <v>1.0748423539214071E-16</v>
      </c>
      <c r="L6" s="67">
        <f t="shared" ref="L6:L7" si="8">IF(E6&lt;&gt;".",E6*2.22*100,".")</f>
        <v>38342821.27654922</v>
      </c>
    </row>
    <row r="7" spans="1:12">
      <c r="A7" s="87" t="s">
        <v>16</v>
      </c>
      <c r="B7" s="89" t="s">
        <v>59</v>
      </c>
      <c r="C7" s="2" t="str">
        <f>IFERROR((s_DL)/(k_decay_iw*Doses!C5*s_IRDiw*s_Fin*s_Fi),".")</f>
        <v>.</v>
      </c>
      <c r="D7" s="3">
        <f>IFERROR((s_DL)/(k_decay_iw*Doses!L5*s_Fin*s_Fi*s_Fam*s_Foff*s_ETiw*(1/24)*s_EFiw*(1/365)*Isospec!R6),".")</f>
        <v>96186.363908643136</v>
      </c>
      <c r="E7" s="3">
        <f t="shared" si="4"/>
        <v>96186.363908643136</v>
      </c>
      <c r="F7" s="2" t="str">
        <f t="shared" si="5"/>
        <v>.</v>
      </c>
      <c r="G7" s="3">
        <f t="shared" si="6"/>
        <v>3558.8954646197994</v>
      </c>
      <c r="H7" s="5">
        <f t="shared" si="7"/>
        <v>3558.8954646197994</v>
      </c>
      <c r="I7" s="2" t="str">
        <f>IFERROR(C7*Isospec!C6*Isospec!F6*SSLcm_m,".")</f>
        <v>.</v>
      </c>
      <c r="J7" s="3">
        <f>IFERROR(D7*Isospec!C6*Isospec!F6*SSLcm_m,".")</f>
        <v>2.7926254057189842E-15</v>
      </c>
      <c r="K7" s="5">
        <f>IFERROR(E7*Isospec!C6*Isospec!F6*SSLcm_m,".")</f>
        <v>2.7926254057189842E-15</v>
      </c>
      <c r="L7" s="67">
        <f t="shared" si="8"/>
        <v>21353372.787718777</v>
      </c>
    </row>
    <row r="8" spans="1:12">
      <c r="A8" s="87" t="s">
        <v>18</v>
      </c>
      <c r="B8" s="12" t="s">
        <v>59</v>
      </c>
      <c r="C8" s="2" t="str">
        <f>IFERROR((s_DL)/(k_decay_iw*Doses!C6*s_IRDiw*s_Fin*s_Fi),".")</f>
        <v>.</v>
      </c>
      <c r="D8" s="3">
        <f>IFERROR((s_DL)/(k_decay_iw*Doses!L6*s_Fin*s_Fi*s_Fam*s_Foff*s_ETiw*(1/24)*s_EFiw*(1/365)*Isospec!R7),".")</f>
        <v>84.097939238230438</v>
      </c>
      <c r="E8" s="3">
        <f t="shared" ref="E8:E11" si="9">IFERROR(IF(AND(ISNUMBER(C8),ISNUMBER(D8)),(1/((1/C8)+(1/D8))),IF(AND(ISNUMBER(C8),NOT(ISNUMBER(D8))),(1/(1/C8)),IF(AND(NOT(ISNUMBER(C8)),ISNUMBER(D8)),(1/(1/D8)),"."))),".")</f>
        <v>84.097939238230438</v>
      </c>
      <c r="F8" s="2" t="str">
        <f t="shared" ref="F8:F11" si="10">IFERROR(C8/_1_bq,".")</f>
        <v>.</v>
      </c>
      <c r="G8" s="3">
        <f t="shared" ref="G8:G11" si="11">IFERROR(D8/_1_bq,".")</f>
        <v>3.1116237518145295</v>
      </c>
      <c r="H8" s="5">
        <f t="shared" ref="H8:H11" si="12">IFERROR(E8/_1_bq,".")</f>
        <v>3.1116237518145295</v>
      </c>
      <c r="I8" s="2" t="str">
        <f>IFERROR(C8*Isospec!C7*Isospec!F7*SSLcm_m,".")</f>
        <v>.</v>
      </c>
      <c r="J8" s="3">
        <f>IFERROR(D8*Isospec!C7*Isospec!F7*SSLcm_m,".")</f>
        <v>1.5663516389466373E-16</v>
      </c>
      <c r="K8" s="5">
        <f>IFERROR(E8*Isospec!C7*Isospec!F7*SSLcm_m,".")</f>
        <v>1.5663516389466373E-16</v>
      </c>
      <c r="L8" s="67">
        <f>IF(E8&lt;&gt;".",E8*2.22*100,".")</f>
        <v>18669.742510887158</v>
      </c>
    </row>
    <row r="9" spans="1:12">
      <c r="A9" s="87" t="s">
        <v>19</v>
      </c>
      <c r="B9" s="90" t="s">
        <v>59</v>
      </c>
      <c r="C9" s="2">
        <f>IFERROR((s_DL)/(k_decay_iw*Doses!C7*s_IRDiw*s_Fin*s_Fi),".")</f>
        <v>12.381197988004596</v>
      </c>
      <c r="D9" s="3">
        <f>IFERROR((s_DL)/(k_decay_iw*Doses!L7*s_Fin*s_Fi*s_Fam*s_Foff*s_ETiw*(1/24)*s_EFiw*(1/365)*Isospec!R8),".")</f>
        <v>1194.9210384198359</v>
      </c>
      <c r="E9" s="3">
        <f t="shared" si="9"/>
        <v>12.254225587063573</v>
      </c>
      <c r="F9" s="2">
        <f t="shared" si="10"/>
        <v>0.45810432555617048</v>
      </c>
      <c r="G9" s="3">
        <f t="shared" si="11"/>
        <v>44.212078421533974</v>
      </c>
      <c r="H9" s="5">
        <f t="shared" si="12"/>
        <v>0.45340634672135266</v>
      </c>
      <c r="I9" s="2">
        <f>IFERROR(C9*Isospec!C8*Isospec!F8*SSLcm_m,".")</f>
        <v>9.9987298526445422E-14</v>
      </c>
      <c r="J9" s="3">
        <f>IFERROR(D9*Isospec!C8*Isospec!F8*SSLcm_m,".")</f>
        <v>9.6498680256763809E-12</v>
      </c>
      <c r="K9" s="5">
        <f>IFERROR(E9*Isospec!C8*Isospec!F8*SSLcm_m,".")</f>
        <v>9.8961902811926555E-14</v>
      </c>
      <c r="L9" s="67">
        <f>IF(E9&lt;&gt;".",E9*2.22*100,".")</f>
        <v>2720.4380803281133</v>
      </c>
    </row>
    <row r="10" spans="1:12">
      <c r="A10" s="87" t="s">
        <v>20</v>
      </c>
      <c r="B10" s="12" t="s">
        <v>59</v>
      </c>
      <c r="C10" s="2">
        <f>IFERROR((s_DL)/(k_decay_iw*Doses!C8*s_IRDiw*s_Fin*s_Fi),".")</f>
        <v>81.916006890333449</v>
      </c>
      <c r="D10" s="3">
        <f>IFERROR((s_DL)/(k_decay_iw*Doses!L8*s_Fin*s_Fi*s_Fam*s_Foff*s_ETiw*(1/24)*s_EFiw*(1/365)*Isospec!R9),".")</f>
        <v>280.77233886150367</v>
      </c>
      <c r="E10" s="3">
        <f t="shared" si="9"/>
        <v>63.414634393935366</v>
      </c>
      <c r="F10" s="2">
        <f t="shared" si="10"/>
        <v>3.0308922549423407</v>
      </c>
      <c r="G10" s="3">
        <f t="shared" si="11"/>
        <v>10.388576537875647</v>
      </c>
      <c r="H10" s="5">
        <f t="shared" si="12"/>
        <v>2.3463414725756109</v>
      </c>
      <c r="I10" s="2">
        <f>IFERROR(C10*Isospec!C9*Isospec!F9*SSLcm_m,".")</f>
        <v>4.2376066776318897E-15</v>
      </c>
      <c r="J10" s="3">
        <f>IFERROR(D10*Isospec!C9*Isospec!F9*SSLcm_m,".")</f>
        <v>1.4524667195346838E-14</v>
      </c>
      <c r="K10" s="5">
        <f>IFERROR(E10*Isospec!C9*Isospec!F9*SSLcm_m,".")</f>
        <v>3.2805099805107398E-15</v>
      </c>
      <c r="L10" s="67">
        <f t="shared" ref="L10:L11" si="13">IF(E10&lt;&gt;".",E10*2.22*100,".")</f>
        <v>14078.048835453652</v>
      </c>
    </row>
    <row r="11" spans="1:12">
      <c r="A11" s="87" t="s">
        <v>21</v>
      </c>
      <c r="B11" s="90" t="s">
        <v>59</v>
      </c>
      <c r="C11" s="2">
        <f>IFERROR((s_DL)/(k_decay_iw*Doses!C9*s_IRDiw*s_Fin*s_Fi),".")</f>
        <v>144.81579789541092</v>
      </c>
      <c r="D11" s="3">
        <f>IFERROR((s_DL)/(k_decay_iw*Doses!L9*s_Fin*s_Fi*s_Fam*s_Foff*s_ETiw*(1/24)*s_EFiw*(1/365)*Isospec!R10),".")</f>
        <v>35.945276175001162</v>
      </c>
      <c r="E11" s="3">
        <f t="shared" si="9"/>
        <v>28.797371760614869</v>
      </c>
      <c r="F11" s="2">
        <f t="shared" si="10"/>
        <v>5.3581845221302098</v>
      </c>
      <c r="G11" s="3">
        <f t="shared" si="11"/>
        <v>1.3299752184750444</v>
      </c>
      <c r="H11" s="5">
        <f t="shared" si="12"/>
        <v>1.0655027551427512</v>
      </c>
      <c r="I11" s="2">
        <f>IFERROR(C11*Isospec!C10*Isospec!F10*SSLcm_m,".")</f>
        <v>3.2853789181292143E-15</v>
      </c>
      <c r="J11" s="3">
        <f>IFERROR(D11*Isospec!C10*Isospec!F10*SSLcm_m,".")</f>
        <v>8.1547631037444601E-16</v>
      </c>
      <c r="K11" s="5">
        <f>IFERROR(E11*Isospec!C10*Isospec!F10*SSLcm_m,".")</f>
        <v>6.5331462074450781E-16</v>
      </c>
      <c r="L11" s="67">
        <f t="shared" si="13"/>
        <v>6393.016530856502</v>
      </c>
    </row>
    <row r="12" spans="1:12">
      <c r="A12" s="88" t="s">
        <v>17</v>
      </c>
      <c r="B12" s="12" t="s">
        <v>44</v>
      </c>
      <c r="C12" s="2">
        <f>IFERROR((s_DL)/(k_decay_iw*Doses!C10*s_IRDiw*s_Fin*s_Fi),".")</f>
        <v>1.1926006885504428</v>
      </c>
      <c r="D12" s="3">
        <f>IFERROR((s_DL)/(k_decay_iw*Doses!L10*s_Fin*s_Fi*s_Fam*s_Foff*s_ETiw*(1/24)*s_EFiw*(1/365)*Isospec!R11),".")</f>
        <v>14649.057697138613</v>
      </c>
      <c r="E12" s="3">
        <f t="shared" ref="E12" si="14">IFERROR(IF(AND(ISNUMBER(C12),ISNUMBER(D12)),(1/((1/C12)+(1/D12))),IF(AND(ISNUMBER(C12),NOT(ISNUMBER(D12))),(1/(1/C12)),IF(AND(NOT(ISNUMBER(C12)),ISNUMBER(D12)),(1/(1/D12)),"."))),".")</f>
        <v>1.1925036051304727</v>
      </c>
      <c r="F12" s="2">
        <f t="shared" ref="F12" si="15">IFERROR(C12/_1_bq,".")</f>
        <v>4.4126225476366431E-2</v>
      </c>
      <c r="G12" s="3">
        <f t="shared" ref="G12" si="16">IFERROR(D12/_1_bq,".")</f>
        <v>542.01513479412927</v>
      </c>
      <c r="H12" s="5">
        <f t="shared" ref="H12" si="17">IFERROR(E12/_1_bq,".")</f>
        <v>4.4122633389827533E-2</v>
      </c>
      <c r="I12" s="2">
        <f>IFERROR(C12*Isospec!C11*Isospec!F11*SSLcm_m,".")</f>
        <v>1.3800893903230278E-11</v>
      </c>
      <c r="J12" s="3">
        <f>IFERROR(D12*Isospec!C11*Isospec!F11*SSLcm_m,".")</f>
        <v>1.6952035413147236E-7</v>
      </c>
      <c r="K12" s="5">
        <f>IFERROR(E12*Isospec!C11*Isospec!F11*SSLcm_m,".")</f>
        <v>1.3799770444228756E-11</v>
      </c>
      <c r="L12" s="67">
        <f t="shared" ref="L12" si="18">IF(E12&lt;&gt;".",E12*2.22*100,".")</f>
        <v>264.73580033896496</v>
      </c>
    </row>
    <row r="13" spans="1:12">
      <c r="A13" s="87" t="s">
        <v>24</v>
      </c>
      <c r="B13" s="12" t="s">
        <v>59</v>
      </c>
      <c r="C13" s="2" t="str">
        <f>IFERROR((s_DL)/(k_decay_iw*Doses!C11*s_IRDiw*s_Fin*s_Fi),".")</f>
        <v>.</v>
      </c>
      <c r="D13" s="3">
        <f>IFERROR((s_DL)/(k_decay_iw*Doses!L11*s_Fin*s_Fi*s_Fam*s_Foff*s_ETiw*(1/24)*s_EFiw*(1/365)*Isospec!R12),".")</f>
        <v>1377.6246294905477</v>
      </c>
      <c r="E13" s="3">
        <f t="shared" ref="E13" si="19">IFERROR(IF(AND(ISNUMBER(C13),ISNUMBER(D13)),(1/((1/C13)+(1/D13))),IF(AND(ISNUMBER(C13),NOT(ISNUMBER(D13))),(1/(1/C13)),IF(AND(NOT(ISNUMBER(C13)),ISNUMBER(D13)),(1/(1/D13)),"."))),".")</f>
        <v>1377.6246294905477</v>
      </c>
      <c r="F13" s="2" t="str">
        <f t="shared" ref="F13" si="20">IFERROR(C13/_1_bq,".")</f>
        <v>.</v>
      </c>
      <c r="G13" s="3">
        <f t="shared" ref="G13" si="21">IFERROR(D13/_1_bq,".")</f>
        <v>50.97211129115032</v>
      </c>
      <c r="H13" s="5">
        <f t="shared" ref="H13" si="22">IFERROR(E13/_1_bq,".")</f>
        <v>50.97211129115032</v>
      </c>
      <c r="I13" s="2" t="str">
        <f>IFERROR(C13*Isospec!C12*Isospec!F12*SSLcm_m,".")</f>
        <v>.</v>
      </c>
      <c r="J13" s="3">
        <f>IFERROR(D13*Isospec!C12*Isospec!F12*SSLcm_m,".")</f>
        <v>7.9473424497162963E-15</v>
      </c>
      <c r="K13" s="5">
        <f>IFERROR(E13*Isospec!C12*Isospec!F12*SSLcm_m,".")</f>
        <v>7.9473424497162963E-15</v>
      </c>
      <c r="L13" s="67">
        <f t="shared" ref="L13" si="23">IF(E13&lt;&gt;".",E13*2.22*100,".")</f>
        <v>305832.66774690157</v>
      </c>
    </row>
    <row r="14" spans="1:12">
      <c r="A14" s="87" t="s">
        <v>22</v>
      </c>
      <c r="B14" s="89" t="s">
        <v>59</v>
      </c>
      <c r="C14" s="2" t="str">
        <f>IFERROR((s_DL)/(k_decay_iw*Doses!C12*s_IRDiw*s_Fin*s_Fi),".")</f>
        <v>.</v>
      </c>
      <c r="D14" s="3">
        <f>IFERROR((s_DL)/(k_decay_iw*Doses!L12*s_Fin*s_Fi*s_Fam*s_Foff*s_ETiw*(1/24)*s_EFiw*(1/365)*Isospec!R13),".")</f>
        <v>283.68723625530492</v>
      </c>
      <c r="E14" s="3">
        <f t="shared" ref="E14" si="24">IFERROR(IF(AND(ISNUMBER(C14),ISNUMBER(D14)),(1/((1/C14)+(1/D14))),IF(AND(ISNUMBER(C14),NOT(ISNUMBER(D14))),(1/(1/C14)),IF(AND(NOT(ISNUMBER(C14)),ISNUMBER(D14)),(1/(1/D14)),"."))),".")</f>
        <v>283.68723625530492</v>
      </c>
      <c r="F14" s="2" t="str">
        <f t="shared" ref="F14" si="25">IFERROR(C14/_1_bq,".")</f>
        <v>.</v>
      </c>
      <c r="G14" s="3">
        <f t="shared" ref="G14" si="26">IFERROR(D14/_1_bq,".")</f>
        <v>10.496427741446293</v>
      </c>
      <c r="H14" s="5">
        <f t="shared" ref="H14" si="27">IFERROR(E14/_1_bq,".")</f>
        <v>10.496427741446293</v>
      </c>
      <c r="I14" s="2" t="str">
        <f>IFERROR(C14*Isospec!C13*Isospec!F13*SSLcm_m,".")</f>
        <v>.</v>
      </c>
      <c r="J14" s="3">
        <f>IFERROR(D14*Isospec!C13*Isospec!F13*SSLcm_m,".")</f>
        <v>2.537273597140978E-15</v>
      </c>
      <c r="K14" s="5">
        <f>IFERROR(E14*Isospec!C13*Isospec!F13*SSLcm_m,".")</f>
        <v>2.537273597140978E-15</v>
      </c>
      <c r="L14" s="67">
        <f t="shared" ref="L14" si="28">IF(E14&lt;&gt;".",E14*2.22*100,".")</f>
        <v>62978.566448677702</v>
      </c>
    </row>
    <row r="15" spans="1:12">
      <c r="A15" s="87" t="s">
        <v>28</v>
      </c>
      <c r="B15" s="12" t="s">
        <v>59</v>
      </c>
      <c r="C15" s="2">
        <f>IFERROR((s_DL)/(k_decay_iw*Doses!C13*s_IRDiw*s_Fin*s_Fi),".")</f>
        <v>0.15158289125500957</v>
      </c>
      <c r="D15" s="3">
        <f>IFERROR((s_DL)/(k_decay_iw*Doses!L13*s_Fin*s_Fi*s_Fam*s_Foff*s_ETiw*(1/24)*s_EFiw*(1/365)*Isospec!R14),".")</f>
        <v>819.74530618180904</v>
      </c>
      <c r="E15" s="3">
        <f t="shared" ref="E15:E16" si="29">IFERROR(IF(AND(ISNUMBER(C15),ISNUMBER(D15)),(1/((1/C15)+(1/D15))),IF(AND(ISNUMBER(C15),NOT(ISNUMBER(D15))),(1/(1/C15)),IF(AND(NOT(ISNUMBER(C15)),ISNUMBER(D15)),(1/(1/D15)),"."))),".")</f>
        <v>0.15155486654455214</v>
      </c>
      <c r="F15" s="2">
        <f t="shared" ref="F15:F16" si="30">IFERROR(C15/_1_bq,".")</f>
        <v>5.6085669764353594E-3</v>
      </c>
      <c r="G15" s="3">
        <f t="shared" ref="G15:G16" si="31">IFERROR(D15/_1_bq,".")</f>
        <v>30.330576328726966</v>
      </c>
      <c r="H15" s="5">
        <f t="shared" ref="H15:H16" si="32">IFERROR(E15/_1_bq,".")</f>
        <v>5.6075300621484343E-3</v>
      </c>
      <c r="I15" s="2">
        <f>IFERROR(C15*Isospec!C14*Isospec!F14*SSLcm_m,".")</f>
        <v>2.1566583182935142E-7</v>
      </c>
      <c r="J15" s="3">
        <f>IFERROR(D15*Isospec!C14*Isospec!F14*SSLcm_m,".")</f>
        <v>1.1662995202307406E-3</v>
      </c>
      <c r="K15" s="5">
        <f>IFERROR(E15*Isospec!C14*Isospec!F14*SSLcm_m,".")</f>
        <v>2.1562595943714051E-7</v>
      </c>
      <c r="L15" s="67">
        <f t="shared" ref="L15:L16" si="33">IF(E15&lt;&gt;".",E15*2.22*100,".")</f>
        <v>33.645180372890579</v>
      </c>
    </row>
    <row r="16" spans="1:12">
      <c r="A16" s="87" t="s">
        <v>29</v>
      </c>
      <c r="B16" s="12" t="s">
        <v>59</v>
      </c>
      <c r="C16" s="2">
        <f>IFERROR((s_DL)/(k_decay_iw*Doses!C14*s_IRDiw*s_Fin*s_Fi),".")</f>
        <v>16.790237437149091</v>
      </c>
      <c r="D16" s="3">
        <f>IFERROR((s_DL)/(k_decay_iw*Doses!L14*s_Fin*s_Fi*s_Fam*s_Foff*s_ETiw*(1/24)*s_EFiw*(1/365)*Isospec!R15),".")</f>
        <v>147.98104507032372</v>
      </c>
      <c r="E16" s="3">
        <f t="shared" si="29"/>
        <v>15.079307784203911</v>
      </c>
      <c r="F16" s="2">
        <f t="shared" si="30"/>
        <v>0.62123878517451703</v>
      </c>
      <c r="G16" s="3">
        <f t="shared" si="31"/>
        <v>5.475298667601983</v>
      </c>
      <c r="H16" s="5">
        <f t="shared" si="32"/>
        <v>0.55793438801554529</v>
      </c>
      <c r="I16" s="2">
        <f>IFERROR(C16*Isospec!C15*Isospec!F15*SSLcm_m,".")</f>
        <v>8.0930190144674594E-13</v>
      </c>
      <c r="J16" s="3">
        <f>IFERROR(D16*Isospec!C15*Isospec!F15*SSLcm_m,".")</f>
        <v>7.1327961621622287E-12</v>
      </c>
      <c r="K16" s="5">
        <f>IFERROR(E16*Isospec!C15*Isospec!F15*SSLcm_m,".")</f>
        <v>7.2683382280561013E-13</v>
      </c>
      <c r="L16" s="67">
        <f t="shared" si="33"/>
        <v>3347.6063280932685</v>
      </c>
    </row>
    <row r="17" spans="1:12">
      <c r="A17" s="87" t="s">
        <v>32</v>
      </c>
      <c r="B17" s="12" t="s">
        <v>59</v>
      </c>
      <c r="C17" s="2">
        <f>IFERROR((s_DL)/(k_decay_iw*Doses!C15*s_IRDiw*s_Fin*s_Fi),".")</f>
        <v>286.05589707735487</v>
      </c>
      <c r="D17" s="3">
        <f>IFERROR((s_DL)/(k_decay_iw*Doses!L15*s_Fin*s_Fi*s_Fam*s_Foff*s_ETiw*(1/24)*s_EFiw*(1/365)*Isospec!R16),".")</f>
        <v>3769.0581468904047</v>
      </c>
      <c r="E17" s="3">
        <f t="shared" ref="E17:E20" si="34">IFERROR(IF(AND(ISNUMBER(C17),ISNUMBER(D17)),(1/((1/C17)+(1/D17))),IF(AND(ISNUMBER(C17),NOT(ISNUMBER(D17))),(1/(1/C17)),IF(AND(NOT(ISNUMBER(C17)),ISNUMBER(D17)),(1/(1/D17)),"."))),".")</f>
        <v>265.87693900971323</v>
      </c>
      <c r="F17" s="2">
        <f t="shared" ref="F17:F20" si="35">IFERROR(C17/_1_bq,".")</f>
        <v>10.584068191862141</v>
      </c>
      <c r="G17" s="3">
        <f t="shared" ref="G17:G20" si="36">IFERROR(D17/_1_bq,".")</f>
        <v>139.45515143494512</v>
      </c>
      <c r="H17" s="5">
        <f t="shared" ref="H17:H20" si="37">IFERROR(E17/_1_bq,".")</f>
        <v>9.8374467433593988</v>
      </c>
      <c r="I17" s="2">
        <f>IFERROR(C17*Isospec!C16*Isospec!F16*SSLcm_m,".")</f>
        <v>6.2163460089535365E-14</v>
      </c>
      <c r="J17" s="3">
        <f>IFERROR(D17*Isospec!C16*Isospec!F16*SSLcm_m,".")</f>
        <v>8.1906263105633982E-13</v>
      </c>
      <c r="K17" s="5">
        <f>IFERROR(E17*Isospec!C16*Isospec!F16*SSLcm_m,".")</f>
        <v>5.7778324641175649E-14</v>
      </c>
      <c r="L17" s="67">
        <f t="shared" ref="L17:L23" si="38">IF(E17&lt;&gt;".",E17*2.22*100,".")</f>
        <v>59024.680460156342</v>
      </c>
    </row>
    <row r="18" spans="1:12">
      <c r="A18" s="87" t="s">
        <v>33</v>
      </c>
      <c r="B18" s="90" t="s">
        <v>59</v>
      </c>
      <c r="C18" s="2">
        <f>IFERROR((s_DL)/(k_decay_iw*Doses!C16*s_IRDiw*s_Fin*s_Fi),".")</f>
        <v>2.3303691615353478E-2</v>
      </c>
      <c r="D18" s="3">
        <f>IFERROR((s_DL)/(k_decay_iw*Doses!L16*s_Fin*s_Fi*s_Fam*s_Foff*s_ETiw*(1/24)*s_EFiw*(1/365)*Isospec!R17),".")</f>
        <v>7216.5271327351347</v>
      </c>
      <c r="E18" s="3">
        <f t="shared" si="34"/>
        <v>2.3303616363050086E-2</v>
      </c>
      <c r="F18" s="2">
        <f t="shared" si="35"/>
        <v>8.6223658976807959E-4</v>
      </c>
      <c r="G18" s="3">
        <f t="shared" si="36"/>
        <v>267.01150391120024</v>
      </c>
      <c r="H18" s="5">
        <f t="shared" si="37"/>
        <v>8.6223380543285399E-4</v>
      </c>
      <c r="I18" s="2">
        <f>IFERROR(C18*Isospec!C17*Isospec!F17*SSLcm_m,".")</f>
        <v>3.0419706887017821E-13</v>
      </c>
      <c r="J18" s="3">
        <f>IFERROR(D18*Isospec!C17*Isospec!F17*SSLcm_m,".")</f>
        <v>9.4201658579871346E-8</v>
      </c>
      <c r="K18" s="5">
        <f>IFERROR(E18*Isospec!C17*Isospec!F17*SSLcm_m,".")</f>
        <v>3.0419608655671064E-13</v>
      </c>
      <c r="L18" s="67">
        <f t="shared" si="38"/>
        <v>5.1734028325971195</v>
      </c>
    </row>
    <row r="19" spans="1:12">
      <c r="A19" s="87" t="s">
        <v>34</v>
      </c>
      <c r="B19" s="90" t="s">
        <v>59</v>
      </c>
      <c r="C19" s="2">
        <f>IFERROR((s_DL)/(k_decay_iw*Doses!C17*s_IRDiw*s_Fin*s_Fi),".")</f>
        <v>116.68611053443182</v>
      </c>
      <c r="D19" s="3">
        <f>IFERROR((s_DL)/(k_decay_iw*Doses!L17*s_Fin*s_Fi*s_Fam*s_Foff*s_ETiw*(1/24)*s_EFiw*(1/365)*Isospec!R18),".")</f>
        <v>163.71589717565891</v>
      </c>
      <c r="E19" s="3">
        <f t="shared" si="34"/>
        <v>68.12851102633222</v>
      </c>
      <c r="F19" s="2">
        <f t="shared" si="35"/>
        <v>4.317386089773982</v>
      </c>
      <c r="G19" s="3">
        <f t="shared" si="36"/>
        <v>6.0574881954993858</v>
      </c>
      <c r="H19" s="5">
        <f t="shared" si="37"/>
        <v>2.5207549079742946</v>
      </c>
      <c r="I19" s="2">
        <f>IFERROR(C19*Isospec!C18*Isospec!F18*SSLcm_m,".")</f>
        <v>3.5650892450224295E-15</v>
      </c>
      <c r="J19" s="3">
        <f>IFERROR(D19*Isospec!C18*Isospec!F18*SSLcm_m,".")</f>
        <v>5.001981654773831E-15</v>
      </c>
      <c r="K19" s="5">
        <f>IFERROR(E19*Isospec!C18*Isospec!F18*SSLcm_m,".")</f>
        <v>2.0815178501274881E-15</v>
      </c>
      <c r="L19" s="67">
        <f t="shared" si="38"/>
        <v>15124.529447845754</v>
      </c>
    </row>
    <row r="20" spans="1:12">
      <c r="A20" s="87" t="s">
        <v>36</v>
      </c>
      <c r="B20" s="90" t="s">
        <v>59</v>
      </c>
      <c r="C20" s="2">
        <f>IFERROR((s_DL)/(k_decay_iw*Doses!C18*s_IRDiw*s_Fin*s_Fi),".")</f>
        <v>1.3404437491145473E-2</v>
      </c>
      <c r="D20" s="3">
        <f>IFERROR((s_DL)/(k_decay_iw*Doses!L18*s_Fin*s_Fi*s_Fam*s_Foff*s_ETiw*(1/24)*s_EFiw*(1/365)*Isospec!R19),".")</f>
        <v>5433521.0993223041</v>
      </c>
      <c r="E20" s="3">
        <f t="shared" si="34"/>
        <v>1.3404437458076872E-2</v>
      </c>
      <c r="F20" s="2">
        <f t="shared" si="35"/>
        <v>4.9596418717238306E-4</v>
      </c>
      <c r="G20" s="3">
        <f t="shared" si="36"/>
        <v>201040.28067492545</v>
      </c>
      <c r="H20" s="5">
        <f t="shared" si="37"/>
        <v>4.9596418594884475E-4</v>
      </c>
      <c r="I20" s="2">
        <f>IFERROR(C20*Isospec!C19*Isospec!F19*SSLcm_m,".")</f>
        <v>2.9880910576918934E-15</v>
      </c>
      <c r="J20" s="3">
        <f>IFERROR(D20*Isospec!C19*Isospec!F19*SSLcm_m,".")</f>
        <v>1.2112299243731842E-6</v>
      </c>
      <c r="K20" s="5">
        <f>IFERROR(E20*Isospec!C19*Isospec!F19*SSLcm_m,".")</f>
        <v>2.988091050320305E-15</v>
      </c>
      <c r="L20" s="67">
        <f t="shared" si="38"/>
        <v>2.9757851156930659</v>
      </c>
    </row>
    <row r="21" spans="1:12">
      <c r="A21" s="87" t="s">
        <v>37</v>
      </c>
      <c r="B21" s="12" t="s">
        <v>59</v>
      </c>
      <c r="C21" s="2" t="str">
        <f>IFERROR((s_DL)/(k_decay_iw*Doses!C19*s_IRDiw*s_Fin*s_Fi),".")</f>
        <v>.</v>
      </c>
      <c r="D21" s="3">
        <f>IFERROR((s_DL)/(k_decay_iw*Doses!L19*s_Fin*s_Fi*s_Fam*s_Foff*s_ETiw*(1/24)*s_EFiw*(1/365)*Isospec!R20),".")</f>
        <v>1396812.3945994333</v>
      </c>
      <c r="E21" s="3">
        <f t="shared" ref="E21:E23" si="39">IFERROR(IF(AND(ISNUMBER(C21),ISNUMBER(D21)),(1/((1/C21)+(1/D21))),IF(AND(ISNUMBER(C21),NOT(ISNUMBER(D21))),(1/(1/C21)),IF(AND(NOT(ISNUMBER(C21)),ISNUMBER(D21)),(1/(1/D21)),"."))),".")</f>
        <v>1396812.3945994333</v>
      </c>
      <c r="F21" s="2" t="str">
        <f t="shared" ref="F21:F23" si="40">IFERROR(C21/_1_bq,".")</f>
        <v>.</v>
      </c>
      <c r="G21" s="3">
        <f t="shared" ref="G21:G23" si="41">IFERROR(D21/_1_bq,".")</f>
        <v>51682.058600179087</v>
      </c>
      <c r="H21" s="5">
        <f t="shared" ref="H21:H23" si="42">IFERROR(E21/_1_bq,".")</f>
        <v>51682.058600179087</v>
      </c>
      <c r="I21" s="2" t="str">
        <f>IFERROR(C21*Isospec!C20*Isospec!F20*SSLcm_m,".")</f>
        <v>.</v>
      </c>
      <c r="J21" s="3">
        <f>IFERROR(D21*Isospec!C20*Isospec!F20*SSLcm_m,".")</f>
        <v>1.1094772421943798E-19</v>
      </c>
      <c r="K21" s="5">
        <f>IFERROR(E21*Isospec!C20*Isospec!F20*SSLcm_m,".")</f>
        <v>1.1094772421943798E-19</v>
      </c>
      <c r="L21" s="67">
        <f t="shared" si="38"/>
        <v>310092351.60107422</v>
      </c>
    </row>
    <row r="22" spans="1:12">
      <c r="A22" s="87" t="s">
        <v>38</v>
      </c>
      <c r="B22" s="90" t="s">
        <v>59</v>
      </c>
      <c r="C22" s="2" t="str">
        <f>IFERROR((s_DL)/(k_decay_iw*Doses!C20*s_IRDiw*s_Fin*s_Fi),".")</f>
        <v>.</v>
      </c>
      <c r="D22" s="3">
        <f>IFERROR((s_DL)/(k_decay_iw*Doses!L20*s_Fin*s_Fi*s_Fam*s_Foff*s_ETiw*(1/24)*s_EFiw*(1/365)*Isospec!R21),".")</f>
        <v>636557.36385961412</v>
      </c>
      <c r="E22" s="3">
        <f t="shared" si="39"/>
        <v>636557.36385961412</v>
      </c>
      <c r="F22" s="2" t="str">
        <f t="shared" si="40"/>
        <v>.</v>
      </c>
      <c r="G22" s="3">
        <f t="shared" si="41"/>
        <v>23552.622462805746</v>
      </c>
      <c r="H22" s="5">
        <f t="shared" si="42"/>
        <v>23552.622462805746</v>
      </c>
      <c r="I22" s="2" t="str">
        <f>IFERROR(C22*Isospec!C21*Isospec!F21*SSLcm_m,".")</f>
        <v>.</v>
      </c>
      <c r="J22" s="3">
        <f>IFERROR(D22*Isospec!C21*Isospec!F21*SSLcm_m,".")</f>
        <v>1.9871941853556189E-18</v>
      </c>
      <c r="K22" s="5">
        <f>IFERROR(E22*Isospec!C21*Isospec!F21*SSLcm_m,".")</f>
        <v>1.9871941853556189E-18</v>
      </c>
      <c r="L22" s="67">
        <f t="shared" si="38"/>
        <v>141315734.77683434</v>
      </c>
    </row>
    <row r="23" spans="1:12">
      <c r="A23" s="87" t="s">
        <v>39</v>
      </c>
      <c r="B23" s="90" t="s">
        <v>59</v>
      </c>
      <c r="C23" s="2" t="str">
        <f>IFERROR((s_DL)/(k_decay_iw*Doses!C21*s_IRDiw*s_Fin*s_Fi),".")</f>
        <v>.</v>
      </c>
      <c r="D23" s="3">
        <f>IFERROR((s_DL)/(k_decay_iw*Doses!L21*s_Fin*s_Fi*s_Fam*s_Foff*s_ETiw*(1/24)*s_EFiw*(1/365)*Isospec!R22),".")</f>
        <v>1808014359.1850209</v>
      </c>
      <c r="E23" s="3">
        <f t="shared" si="39"/>
        <v>1808014359.1850207</v>
      </c>
      <c r="F23" s="2" t="str">
        <f t="shared" si="40"/>
        <v>.</v>
      </c>
      <c r="G23" s="3">
        <f t="shared" si="41"/>
        <v>66896531.289845839</v>
      </c>
      <c r="H23" s="5">
        <f t="shared" si="42"/>
        <v>66896531.289845832</v>
      </c>
      <c r="I23" s="2" t="str">
        <f>IFERROR(C23*Isospec!C22*Isospec!F22*SSLcm_m,".")</f>
        <v>.</v>
      </c>
      <c r="J23" s="3">
        <f>IFERROR(D23*Isospec!C22*Isospec!F22*SSLcm_m,".")</f>
        <v>6.5091268855103811E-9</v>
      </c>
      <c r="K23" s="5">
        <f>IFERROR(E23*Isospec!C22*Isospec!F22*SSLcm_m,".")</f>
        <v>6.5091268855103811E-9</v>
      </c>
      <c r="L23" s="67">
        <f t="shared" si="38"/>
        <v>401379187739.07458</v>
      </c>
    </row>
    <row r="24" spans="1:12">
      <c r="A24" s="87" t="s">
        <v>26</v>
      </c>
      <c r="B24" s="12" t="s">
        <v>59</v>
      </c>
      <c r="C24" s="2">
        <f>IFERROR((s_DL)/(k_decay_iw*Doses!C22*s_IRDiw*s_Fin*s_Fi),".")</f>
        <v>0.16284507393861469</v>
      </c>
      <c r="D24" s="3">
        <f>IFERROR((s_DL)/(k_decay_iw*Doses!L22*s_Fin*s_Fi*s_Fam*s_Foff*s_ETiw*(1/24)*s_EFiw*(1/365)*Isospec!R23),".")</f>
        <v>2079.7551296794832</v>
      </c>
      <c r="E24" s="3">
        <f t="shared" ref="E24:E25" si="43">IFERROR(IF(AND(ISNUMBER(C24),ISNUMBER(D24)),(1/((1/C24)+(1/D24))),IF(AND(ISNUMBER(C24),NOT(ISNUMBER(D24))),(1/(1/C24)),IF(AND(NOT(ISNUMBER(C24)),ISNUMBER(D24)),(1/(1/D24)),"."))),".")</f>
        <v>0.16283232414827298</v>
      </c>
      <c r="F24" s="2">
        <f t="shared" ref="F24:F25" si="44">IFERROR(C24/_1_bq,".")</f>
        <v>6.0252677357287496E-3</v>
      </c>
      <c r="G24" s="3">
        <f t="shared" ref="G24:G25" si="45">IFERROR(D24/_1_bq,".")</f>
        <v>76.950939798140951</v>
      </c>
      <c r="H24" s="5">
        <f t="shared" ref="H24:H25" si="46">IFERROR(E24/_1_bq,".")</f>
        <v>6.0247959934861062E-3</v>
      </c>
      <c r="I24" s="2">
        <f>IFERROR(C24*Isospec!C23*Isospec!F23*SSLcm_m,".")</f>
        <v>4.1880183809911486E-15</v>
      </c>
      <c r="J24" s="3">
        <f>IFERROR(D24*Isospec!C23*Isospec!F23*SSLcm_m,".")</f>
        <v>5.3486743567948556E-11</v>
      </c>
      <c r="K24" s="5">
        <f>IFERROR(E24*Isospec!C23*Isospec!F23*SSLcm_m,".")</f>
        <v>4.1876904843283062E-15</v>
      </c>
      <c r="L24" s="67">
        <f t="shared" ref="L24:L25" si="47">IF(E24&lt;&gt;".",E24*2.22*100,".")</f>
        <v>36.148775960916602</v>
      </c>
    </row>
    <row r="25" spans="1:12">
      <c r="A25" s="88" t="s">
        <v>27</v>
      </c>
      <c r="B25" s="90" t="s">
        <v>44</v>
      </c>
      <c r="C25" s="2">
        <f>IFERROR((s_DL)/(k_decay_iw*Doses!C23*s_IRDiw*s_Fin*s_Fi),".")</f>
        <v>5.7926319158164367E-2</v>
      </c>
      <c r="D25" s="3">
        <f>IFERROR((s_DL)/(k_decay_iw*Doses!L23*s_Fin*s_Fi*s_Fam*s_Foff*s_ETiw*(1/24)*s_EFiw*(1/365)*Isospec!R24),".")</f>
        <v>5126.2819012555665</v>
      </c>
      <c r="E25" s="3">
        <f t="shared" si="43"/>
        <v>5.792566460568363E-2</v>
      </c>
      <c r="F25" s="2">
        <f t="shared" si="44"/>
        <v>2.1432738088520836E-3</v>
      </c>
      <c r="G25" s="3">
        <f t="shared" si="45"/>
        <v>189.67243034645614</v>
      </c>
      <c r="H25" s="5">
        <f t="shared" si="46"/>
        <v>2.1432495904102965E-3</v>
      </c>
      <c r="I25" s="2">
        <f>IFERROR(C25*Isospec!C24*Isospec!F24*SSLcm_m,".")</f>
        <v>5.8649239621258257E-11</v>
      </c>
      <c r="J25" s="3">
        <f>IFERROR(D25*Isospec!C24*Isospec!F24*SSLcm_m,".")</f>
        <v>5.1902578993832358E-6</v>
      </c>
      <c r="K25" s="5">
        <f>IFERROR(E25*Isospec!C24*Isospec!F24*SSLcm_m,".")</f>
        <v>5.8648576899962559E-11</v>
      </c>
      <c r="L25" s="67">
        <f t="shared" si="47"/>
        <v>12.859497542461767</v>
      </c>
    </row>
    <row r="26" spans="1:12">
      <c r="A26" s="87" t="s">
        <v>30</v>
      </c>
      <c r="B26" s="90" t="s">
        <v>59</v>
      </c>
      <c r="C26" s="2" t="str">
        <f>IFERROR((s_DL)/(k_decay_iw*Doses!C24*s_IRDiw*s_Fin*s_Fi),".")</f>
        <v>.</v>
      </c>
      <c r="D26" s="3">
        <f>IFERROR((s_DL)/(k_decay_iw*Doses!L24*s_Fin*s_Fi*s_Fam*s_Foff*s_ETiw*(1/24)*s_EFiw*(1/365)*Isospec!R25),".")</f>
        <v>67022.805166379811</v>
      </c>
      <c r="E26" s="3">
        <f t="shared" ref="E26:E27" si="48">IFERROR(IF(AND(ISNUMBER(C26),ISNUMBER(D26)),(1/((1/C26)+(1/D26))),IF(AND(ISNUMBER(C26),NOT(ISNUMBER(D26))),(1/(1/C26)),IF(AND(NOT(ISNUMBER(C26)),ISNUMBER(D26)),(1/(1/D26)),"."))),".")</f>
        <v>67022.805166379811</v>
      </c>
      <c r="F26" s="2" t="str">
        <f t="shared" ref="F26:F27" si="49">IFERROR(C26/_1_bq,".")</f>
        <v>.</v>
      </c>
      <c r="G26" s="3">
        <f t="shared" ref="G26:G27" si="50">IFERROR(D26/_1_bq,".")</f>
        <v>2479.8437911560554</v>
      </c>
      <c r="H26" s="5">
        <f t="shared" ref="H26:H27" si="51">IFERROR(E26/_1_bq,".")</f>
        <v>2479.8437911560554</v>
      </c>
      <c r="I26" s="2" t="str">
        <f>IFERROR(C26*Isospec!C25*Isospec!F25*SSLcm_m,".")</f>
        <v>.</v>
      </c>
      <c r="J26" s="3">
        <f>IFERROR(D26*Isospec!C25*Isospec!F25*SSLcm_m,".")</f>
        <v>4.5404465042319546E-17</v>
      </c>
      <c r="K26" s="5">
        <f>IFERROR(E26*Isospec!C25*Isospec!F25*SSLcm_m,".")</f>
        <v>4.5404465042319546E-17</v>
      </c>
      <c r="L26" s="67">
        <f t="shared" ref="L26:L27" si="52">IF(E26&lt;&gt;".",E26*2.22*100,".")</f>
        <v>14879062.746936319</v>
      </c>
    </row>
    <row r="27" spans="1:12">
      <c r="A27" s="88" t="s">
        <v>31</v>
      </c>
      <c r="B27" s="90" t="s">
        <v>44</v>
      </c>
      <c r="C27" s="2" t="str">
        <f>IFERROR((s_DL)/(k_decay_iw*Doses!C25*s_IRDiw*s_Fin*s_Fi),".")</f>
        <v>.</v>
      </c>
      <c r="D27" s="3">
        <f>IFERROR((s_DL)/(k_decay_iw*Doses!L25*s_Fin*s_Fi*s_Fam*s_Foff*s_ETiw*(1/24)*s_EFiw*(1/365)*Isospec!R26),".")</f>
        <v>130442.23371091123</v>
      </c>
      <c r="E27" s="3">
        <f t="shared" si="48"/>
        <v>130442.23371091123</v>
      </c>
      <c r="F27" s="2" t="str">
        <f t="shared" si="49"/>
        <v>.</v>
      </c>
      <c r="G27" s="3">
        <f t="shared" si="50"/>
        <v>4826.3626473037202</v>
      </c>
      <c r="H27" s="5">
        <f t="shared" si="51"/>
        <v>4826.3626473037202</v>
      </c>
      <c r="I27" s="2" t="str">
        <f>IFERROR(C27*Isospec!C26*Isospec!F26*SSLcm_m,".")</f>
        <v>.</v>
      </c>
      <c r="J27" s="3">
        <f>IFERROR(D27*Isospec!C26*Isospec!F26*SSLcm_m,".")</f>
        <v>8.4937106678633471E-10</v>
      </c>
      <c r="K27" s="5">
        <f>IFERROR(E27*Isospec!C26*Isospec!F26*SSLcm_m,".")</f>
        <v>8.4937106678633471E-10</v>
      </c>
      <c r="L27" s="67">
        <f t="shared" si="52"/>
        <v>28958175.883822296</v>
      </c>
    </row>
    <row r="28" spans="1:12">
      <c r="A28" s="87" t="s">
        <v>35</v>
      </c>
      <c r="B28" s="12" t="s">
        <v>59</v>
      </c>
      <c r="C28" s="2">
        <f>IFERROR((s_DL)/(k_decay_iw*Doses!C26*s_IRDiw*s_Fin*s_Fi),".")</f>
        <v>3.2503746221014075E-2</v>
      </c>
      <c r="D28" s="3">
        <f>IFERROR((s_DL)/(k_decay_iw*Doses!L26*s_Fin*s_Fi*s_Fam*s_Foff*s_ETiw*(1/24)*s_EFiw*(1/365)*Isospec!R27),".")</f>
        <v>270.06840805446683</v>
      </c>
      <c r="E28" s="3">
        <f t="shared" ref="E28:E31" si="53">IFERROR(IF(AND(ISNUMBER(C28),ISNUMBER(D28)),(1/((1/C28)+(1/D28))),IF(AND(ISNUMBER(C28),NOT(ISNUMBER(D28))),(1/(1/C28)),IF(AND(NOT(ISNUMBER(C28)),ISNUMBER(D28)),(1/(1/D28)),"."))),".")</f>
        <v>3.2499834743961453E-2</v>
      </c>
      <c r="F28" s="2">
        <f t="shared" ref="F28:F31" si="54">IFERROR(C28/_1_bq,".")</f>
        <v>1.202638610177522E-3</v>
      </c>
      <c r="G28" s="3">
        <f t="shared" ref="G28:G31" si="55">IFERROR(D28/_1_bq,".")</f>
        <v>9.9925310980152826</v>
      </c>
      <c r="H28" s="5">
        <f t="shared" ref="H28:H31" si="56">IFERROR(E28/_1_bq,".")</f>
        <v>1.202493885526575E-3</v>
      </c>
      <c r="I28" s="2">
        <f>IFERROR(C28*Isospec!C27*Isospec!F27*SSLcm_m,".")</f>
        <v>1.529758912445504E-10</v>
      </c>
      <c r="J28" s="3">
        <f>IFERROR(D28*Isospec!C27*Isospec!F27*SSLcm_m,".")</f>
        <v>1.2710521162148071E-6</v>
      </c>
      <c r="K28" s="5">
        <f>IFERROR(E28*Isospec!C27*Isospec!F27*SSLcm_m,".")</f>
        <v>1.5295748223765813E-10</v>
      </c>
      <c r="L28" s="67">
        <f t="shared" ref="L28:L31" si="57">IF(E28&lt;&gt;".",E28*2.22*100,".")</f>
        <v>7.2149633131594433</v>
      </c>
    </row>
    <row r="29" spans="1:12">
      <c r="A29" s="87" t="s">
        <v>40</v>
      </c>
      <c r="B29" s="90" t="s">
        <v>59</v>
      </c>
      <c r="C29" s="2" t="str">
        <f>IFERROR((s_DL)/(k_decay_iw*Doses!C27*s_IRDiw*s_Fin*s_Fi),".")</f>
        <v>.</v>
      </c>
      <c r="D29" s="3">
        <f>IFERROR((s_DL)/(k_decay_iw*Doses!L27*s_Fin*s_Fi*s_Fam*s_Foff*s_ETiw*(1/24)*s_EFiw*(1/365)*Isospec!R28),".")</f>
        <v>444.25419334098387</v>
      </c>
      <c r="E29" s="3">
        <f t="shared" si="53"/>
        <v>444.25419334098382</v>
      </c>
      <c r="F29" s="2" t="str">
        <f t="shared" si="54"/>
        <v>.</v>
      </c>
      <c r="G29" s="3">
        <f t="shared" si="55"/>
        <v>16.437405153616421</v>
      </c>
      <c r="H29" s="5">
        <f t="shared" si="56"/>
        <v>16.437405153616417</v>
      </c>
      <c r="I29" s="2" t="str">
        <f>IFERROR(C29*Isospec!C28*Isospec!F28*SSLcm_m,".")</f>
        <v>.</v>
      </c>
      <c r="J29" s="3">
        <f>IFERROR(D29*Isospec!C28*Isospec!F28*SSLcm_m,".")</f>
        <v>2.0476264052894543E-15</v>
      </c>
      <c r="K29" s="5">
        <f>IFERROR(E29*Isospec!C28*Isospec!F28*SSLcm_m,".")</f>
        <v>2.0476264052894543E-15</v>
      </c>
      <c r="L29" s="67">
        <f t="shared" si="57"/>
        <v>98624.430921698411</v>
      </c>
    </row>
    <row r="30" spans="1:12">
      <c r="A30" s="87" t="s">
        <v>41</v>
      </c>
      <c r="B30" s="12" t="s">
        <v>59</v>
      </c>
      <c r="C30" s="2" t="str">
        <f>IFERROR((s_DL)/(k_decay_iw*Doses!C28*s_IRDiw*s_Fin*s_Fi),".")</f>
        <v>.</v>
      </c>
      <c r="D30" s="3">
        <f>IFERROR((s_DL)/(k_decay_iw*Doses!L28*s_Fin*s_Fi*s_Fam*s_Foff*s_ETiw*(1/24)*s_EFiw*(1/365)*Isospec!R29),".")</f>
        <v>24.572999227273939</v>
      </c>
      <c r="E30" s="3">
        <f t="shared" si="53"/>
        <v>24.572999227273939</v>
      </c>
      <c r="F30" s="2" t="str">
        <f t="shared" si="54"/>
        <v>.</v>
      </c>
      <c r="G30" s="3">
        <f t="shared" si="55"/>
        <v>0.90920097140913669</v>
      </c>
      <c r="H30" s="5">
        <f t="shared" si="56"/>
        <v>0.90920097140913669</v>
      </c>
      <c r="I30" s="2" t="str">
        <f>IFERROR(C30*Isospec!C29*Isospec!F29*SSLcm_m,".")</f>
        <v>.</v>
      </c>
      <c r="J30" s="3">
        <f>IFERROR(D30*Isospec!C29*Isospec!F29*SSLcm_m,".")</f>
        <v>5.9123739494667455E-17</v>
      </c>
      <c r="K30" s="5">
        <f>IFERROR(E30*Isospec!C29*Isospec!F29*SSLcm_m,".")</f>
        <v>5.9123739494667455E-17</v>
      </c>
      <c r="L30" s="67">
        <f t="shared" si="57"/>
        <v>5455.2058284548157</v>
      </c>
    </row>
    <row r="31" spans="1:12">
      <c r="A31" s="87" t="s">
        <v>42</v>
      </c>
      <c r="B31" s="90" t="s">
        <v>59</v>
      </c>
      <c r="C31" s="2" t="str">
        <f>IFERROR((s_DL)/(k_decay_iw*Doses!C29*s_IRDiw*s_Fin*s_Fi),".")</f>
        <v>.</v>
      </c>
      <c r="D31" s="3">
        <f>IFERROR((s_DL)/(k_decay_iw*Doses!L29*s_Fin*s_Fi*s_Fam*s_Foff*s_ETiw*(1/24)*s_EFiw*(1/365)*Isospec!R30),".")</f>
        <v>18.631139703378707</v>
      </c>
      <c r="E31" s="3">
        <f t="shared" si="53"/>
        <v>18.631139703378707</v>
      </c>
      <c r="F31" s="2" t="str">
        <f t="shared" si="54"/>
        <v>.</v>
      </c>
      <c r="G31" s="3">
        <f t="shared" si="55"/>
        <v>0.68935216902501284</v>
      </c>
      <c r="H31" s="5">
        <f t="shared" si="56"/>
        <v>0.68935216902501284</v>
      </c>
      <c r="I31" s="2" t="str">
        <f>IFERROR(C31*Isospec!C30*Isospec!F30*SSLcm_m,".")</f>
        <v>.</v>
      </c>
      <c r="J31" s="3">
        <f>IFERROR(D31*Isospec!C30*Isospec!F30*SSLcm_m,".")</f>
        <v>2.7095972582310628E-17</v>
      </c>
      <c r="K31" s="5">
        <f>IFERROR(E31*Isospec!C30*Isospec!F30*SSLcm_m,".")</f>
        <v>2.7095972582310628E-17</v>
      </c>
      <c r="L31" s="67">
        <f t="shared" si="57"/>
        <v>4136.1130141500735</v>
      </c>
    </row>
    <row r="32" spans="1:12">
      <c r="A32" s="87" t="s">
        <v>25</v>
      </c>
      <c r="B32" s="12" t="s">
        <v>59</v>
      </c>
      <c r="C32" s="2">
        <f>IFERROR((s_DL)/(k_decay_iw*Doses!C30*s_IRDiw*s_Fin*s_Fi),".")</f>
        <v>0.31678455789621141</v>
      </c>
      <c r="D32" s="3">
        <f>IFERROR((s_DL)/(k_decay_iw*Doses!L30*s_Fin*s_Fi*s_Fam*s_Foff*s_ETiw*(1/24)*s_EFiw*(1/365)*Isospec!R31),".")</f>
        <v>36372.994755369247</v>
      </c>
      <c r="E32" s="3">
        <f t="shared" ref="E32" si="58">IFERROR(IF(AND(ISNUMBER(C32),ISNUMBER(D32)),(1/((1/C32)+(1/D32))),IF(AND(ISNUMBER(C32),NOT(ISNUMBER(D32))),(1/(1/C32)),IF(AND(NOT(ISNUMBER(C32)),ISNUMBER(D32)),(1/(1/D32)),"."))),".")</f>
        <v>0.31678179893773684</v>
      </c>
      <c r="F32" s="2">
        <f t="shared" ref="F32" si="59">IFERROR(C32/_1_bq,".")</f>
        <v>1.1721028642159834E-2</v>
      </c>
      <c r="G32" s="3">
        <f t="shared" ref="G32" si="60">IFERROR(D32/_1_bq,".")</f>
        <v>1345.8008059486635</v>
      </c>
      <c r="H32" s="5">
        <f t="shared" ref="H32" si="61">IFERROR(E32/_1_bq,".")</f>
        <v>1.1720926560696275E-2</v>
      </c>
      <c r="I32" s="2">
        <f>IFERROR(C32*Isospec!C31*Isospec!F31*SSLcm_m,".")</f>
        <v>3.2901903094980939E-8</v>
      </c>
      <c r="J32" s="3">
        <f>IFERROR(D32*Isospec!C31*Isospec!F31*SSLcm_m,".")</f>
        <v>3.7777748911217413E-3</v>
      </c>
      <c r="K32" s="5">
        <f>IFERROR(E32*Isospec!C31*Isospec!F31*SSLcm_m,".")</f>
        <v>3.2901616543815133E-8</v>
      </c>
      <c r="L32" s="67">
        <f t="shared" ref="L32" si="62">IF(E32&lt;&gt;".",E32*2.22*100,".")</f>
        <v>70.325559364177579</v>
      </c>
    </row>
    <row r="33" spans="1:12">
      <c r="A33" s="30" t="s">
        <v>14</v>
      </c>
      <c r="B33" s="30" t="s">
        <v>59</v>
      </c>
      <c r="C33" s="76">
        <f>IFERROR(1/SUM(1/C34,1/C35,1/C36,1/C37,1/C38,1/C39,1/C40,1/C43,1/C46),0)</f>
        <v>1.620930874177132E-2</v>
      </c>
      <c r="D33" s="77">
        <f>IFERROR(1/SUM(1/D34,1/D35,1/D36,1/D37,1/D38,1/D39,1/D40,1/D41,1/D42,1/D43,1/D44,1/D45,1/D46),0)</f>
        <v>51.828847159629881</v>
      </c>
      <c r="E33" s="78">
        <f>IFERROR(1/SUM(1/E34,1/E35,1/E36,1/E37,1/E38,1/E39,1/E40,1/E41,1/E42,1/E43,1/E44,1/E45,1/E46),0)</f>
        <v>1.6204240916451344E-2</v>
      </c>
      <c r="F33" s="76">
        <f>IFERROR(1/SUM(1/F34,1/F35,1/F36,1/F37,1/F38,1/F39,1/F40,1/F43,1/F46),0)</f>
        <v>5.9974442344553941E-4</v>
      </c>
      <c r="G33" s="77">
        <f>IFERROR(1/SUM(1/G34,1/G35,1/G36,1/G37,1/G38,1/G39,1/G40,1/G41,1/G42,1/G43,1/G44,1/G45,1/G46),0)</f>
        <v>1.9176673449063075</v>
      </c>
      <c r="H33" s="78">
        <f>IFERROR(1/SUM(1/H34,1/H35,1/H36,1/H37,1/H38,1/H39,1/H40,1/H41,1/H42,1/H43,1/H44,1/H45,1/H46),0)</f>
        <v>5.9955691390870024E-4</v>
      </c>
      <c r="I33" s="20">
        <f>IFERROR(C33*Isospec!$C$4*Isospec!$F$4*SSLcm_m,".")</f>
        <v>4.7274215531330182E-12</v>
      </c>
      <c r="J33" s="19">
        <f>IFERROR(D33*Isospec!$C$4*Isospec!$F$4*SSLcm_m,".")</f>
        <v>1.5115808640566145E-8</v>
      </c>
      <c r="K33" s="19">
        <f>IFERROR(E33*Isospec!$C$4*Isospec!$F$4*SSLcm_m,".")</f>
        <v>4.7259435291761146E-12</v>
      </c>
      <c r="L33" s="94">
        <f>IF(E33&lt;&gt;".",E33*2.22*100,".")</f>
        <v>3.5973414834521988</v>
      </c>
    </row>
    <row r="34" spans="1:12">
      <c r="A34" s="31" t="s">
        <v>175</v>
      </c>
      <c r="B34" s="32">
        <v>1</v>
      </c>
      <c r="C34" s="70">
        <f>IFERROR(VLOOKUP("Am-241",$A$4:$L$32,3)/$B34,0)</f>
        <v>7.9506712570029531E-2</v>
      </c>
      <c r="D34" s="71">
        <f>IFERROR(VLOOKUP("Am-241",$A$4:$L$32,4)/$B34,0)</f>
        <v>980.97743950777374</v>
      </c>
      <c r="E34" s="72">
        <f>IFERROR(IF(AND(C34&lt;&gt;0,D34&lt;&gt;0),(1/((1/C34)+(1/D34))),IF(AND(C34&lt;&gt;0,D34=0),(1/(1/C34)),IF(AND(C34=0,D34&lt;&gt;0),(1/(1/D34)),0))),0)</f>
        <v>7.9500269195495521E-2</v>
      </c>
      <c r="F34" s="70">
        <f>IFERROR(VLOOKUP("Am-241",$A$4:$L$32,6)/$B34,0)</f>
        <v>2.9417483650910955E-3</v>
      </c>
      <c r="G34" s="71">
        <f>IFERROR(VLOOKUP("Am-241",$A$4:$L$32,7)/$B34,0)</f>
        <v>36.296165261787664</v>
      </c>
      <c r="H34" s="72">
        <f>IFERROR(IF(AND(F34&lt;&gt;0,G34&lt;&gt;0),(1/((1/F34)+(1/G34))),IF(AND(F34&lt;&gt;0,G34=0),(1/(1/F34)),IF(AND(F34=0,G34&lt;&gt;0),(1/(1/G34)),0))),0)</f>
        <v>2.941509960233337E-3</v>
      </c>
      <c r="I34" s="70">
        <f>IFERROR(VLOOKUP("Am-241",$A$4:$L$32,9)/$B34,0)</f>
        <v>2.3188018231383012E-11</v>
      </c>
      <c r="J34" s="71">
        <f>IFERROR(VLOOKUP("Am-241",$A$4:$L$32,10)/$B34,0)</f>
        <v>2.8610065762492932E-7</v>
      </c>
      <c r="K34" s="71">
        <f>IFERROR(VLOOKUP("Am-241",$A$4:$L$32,11)/$B34,0)</f>
        <v>2.3186139030478627E-11</v>
      </c>
      <c r="L34" s="95">
        <f t="shared" ref="L34:L67" si="63">IF(E34&lt;&gt;".",E34*2.22*100,".")</f>
        <v>17.649059761400007</v>
      </c>
    </row>
    <row r="35" spans="1:12">
      <c r="A35" s="31" t="s">
        <v>176</v>
      </c>
      <c r="B35" s="32">
        <v>1</v>
      </c>
      <c r="C35" s="70">
        <f>IFERROR(VLOOKUP("Np-237",$A$4:$L$32,3)/$B35,0)</f>
        <v>0.15158289125500957</v>
      </c>
      <c r="D35" s="71">
        <f>IFERROR(VLOOKUP("Np-237",$A$4:$L$32,4)/$B35,0)</f>
        <v>819.74530618180904</v>
      </c>
      <c r="E35" s="72">
        <f t="shared" ref="E35:E46" si="64">IFERROR(IF(AND(C35&lt;&gt;0,D35&lt;&gt;0),(1/((1/C35)+(1/D35))),IF(AND(C35&lt;&gt;0,D35=0),(1/(1/C35)),IF(AND(C35=0,D35&lt;&gt;0),(1/(1/D35)),0))),0)</f>
        <v>0.15155486654455214</v>
      </c>
      <c r="F35" s="70">
        <f>IFERROR(VLOOKUP("Np-237",$A$4:$L$32,6)/$B35,0)</f>
        <v>5.6085669764353594E-3</v>
      </c>
      <c r="G35" s="71">
        <f>IFERROR(VLOOKUP("Np-237",$A$4:$L$32,7)/$B35,0)</f>
        <v>30.330576328726966</v>
      </c>
      <c r="H35" s="72">
        <f t="shared" ref="H35" si="65">IFERROR(IF(AND(F35&lt;&gt;0,G35&lt;&gt;0),(1/((1/F35)+(1/G35))),IF(AND(F35&lt;&gt;0,G35=0),(1/(1/F35)),IF(AND(F35=0,G35&lt;&gt;0),(1/(1/G35)),0))),0)</f>
        <v>5.6075300621484343E-3</v>
      </c>
      <c r="I35" s="70">
        <f>IFERROR(VLOOKUP("Np-237",$A$4:$L$32,9)/$B35,0)</f>
        <v>2.1566583182935142E-7</v>
      </c>
      <c r="J35" s="71">
        <f>IFERROR(VLOOKUP("Np-237",$A$4:$L$32,10)/$B35,0)</f>
        <v>1.1662995202307406E-3</v>
      </c>
      <c r="K35" s="71">
        <f>IFERROR(VLOOKUP("Np-237",$A$4:$L$32,11)/$B35,0)</f>
        <v>2.1562595943714051E-7</v>
      </c>
      <c r="L35" s="95">
        <f t="shared" si="63"/>
        <v>33.645180372890579</v>
      </c>
    </row>
    <row r="36" spans="1:12">
      <c r="A36" s="31" t="s">
        <v>177</v>
      </c>
      <c r="B36" s="32">
        <v>1</v>
      </c>
      <c r="C36" s="70">
        <f>IFERROR(VLOOKUP("Pa-233",$A$4:$L$32,3)/$B36,0)</f>
        <v>16.790237437149091</v>
      </c>
      <c r="D36" s="71">
        <f>IFERROR(VLOOKUP("Pa-233",$A$4:$L$32,4)/$B36,0)</f>
        <v>147.98104507032372</v>
      </c>
      <c r="E36" s="72">
        <f>IFERROR(IF(AND(C36&lt;&gt;0,D36&lt;&gt;0),(1/((1/C36)+(1/D36))),IF(AND(C36&lt;&gt;0,D36=0),(1/(1/C36)),IF(AND(C36=0,D36&lt;&gt;0),(1/(1/D36)),0))),0)</f>
        <v>15.079307784203911</v>
      </c>
      <c r="F36" s="70">
        <f>IFERROR(VLOOKUP("Pa-233",$A$4:$L$32,6)/$B36,0)</f>
        <v>0.62123878517451703</v>
      </c>
      <c r="G36" s="71">
        <f>IFERROR(VLOOKUP("Pa-233",$A$4:$L$32,7)/$B36,0)</f>
        <v>5.475298667601983</v>
      </c>
      <c r="H36" s="72">
        <f>IFERROR(IF(AND(F36&lt;&gt;0,G36&lt;&gt;0),(1/((1/F36)+(1/G36))),IF(AND(F36&lt;&gt;0,G36=0),(1/(1/F36)),IF(AND(F36=0,G36&lt;&gt;0),(1/(1/G36)),0))),0)</f>
        <v>0.55793438801554529</v>
      </c>
      <c r="I36" s="70">
        <f>IFERROR(VLOOKUP("Pa-233",$A$4:$L$32,9)/$B36,0)</f>
        <v>8.0930190144674594E-13</v>
      </c>
      <c r="J36" s="71">
        <f>IFERROR(VLOOKUP("Pa-233",$A$4:$L$32,10)/$B36,0)</f>
        <v>7.1327961621622287E-12</v>
      </c>
      <c r="K36" s="71">
        <f>IFERROR(VLOOKUP("Pa-233",$A$4:$L$32,11)/$B36,0)</f>
        <v>7.2683382280561013E-13</v>
      </c>
      <c r="L36" s="95">
        <f t="shared" si="63"/>
        <v>3347.6063280932685</v>
      </c>
    </row>
    <row r="37" spans="1:12">
      <c r="A37" s="31" t="s">
        <v>178</v>
      </c>
      <c r="B37" s="32">
        <v>1</v>
      </c>
      <c r="C37" s="70">
        <f>IFERROR(VLOOKUP("U-233",$A$4:$L$32,3)/$B37,0)</f>
        <v>0.31678455789621141</v>
      </c>
      <c r="D37" s="71">
        <f>IFERROR(VLOOKUP("U-233",$A$4:$L$32,4)/$B37,0)</f>
        <v>36372.994755369247</v>
      </c>
      <c r="E37" s="72">
        <f t="shared" si="64"/>
        <v>0.31678179893773684</v>
      </c>
      <c r="F37" s="70">
        <f>IFERROR(VLOOKUP("U-233",$A$4:$L$32,6)/$B37,0)</f>
        <v>1.1721028642159834E-2</v>
      </c>
      <c r="G37" s="71">
        <f>IFERROR(VLOOKUP("U-233",$A$4:$L$32,7)/$B37,0)</f>
        <v>1345.8008059486635</v>
      </c>
      <c r="H37" s="72">
        <f t="shared" ref="H37:H46" si="66">IFERROR(IF(AND(F37&lt;&gt;0,G37&lt;&gt;0),(1/((1/F37)+(1/G37))),IF(AND(F37&lt;&gt;0,G37=0),(1/(1/F37)),IF(AND(F37=0,G37&lt;&gt;0),(1/(1/G37)),0))),0)</f>
        <v>1.1720926560696275E-2</v>
      </c>
      <c r="I37" s="70">
        <f>IFERROR(VLOOKUP("U-233",$A$4:$L$32,9)/$B37,0)</f>
        <v>3.2901903094980939E-8</v>
      </c>
      <c r="J37" s="71">
        <f>IFERROR(VLOOKUP("U-233",$A$4:$L$32,10)/$B37,0)</f>
        <v>3.7777748911217413E-3</v>
      </c>
      <c r="K37" s="72">
        <f>IFERROR(VLOOKUP("U-233",$A$4:$L$32,11)/$B37,0)</f>
        <v>3.2901616543815133E-8</v>
      </c>
      <c r="L37" s="69">
        <f t="shared" si="63"/>
        <v>70.325559364177579</v>
      </c>
    </row>
    <row r="38" spans="1:12">
      <c r="A38" s="31" t="s">
        <v>179</v>
      </c>
      <c r="B38" s="32">
        <v>1</v>
      </c>
      <c r="C38" s="70">
        <f>IFERROR(VLOOKUP("Th-229",$A$4:$L$32,3)/$B38,0)</f>
        <v>3.2503746221014075E-2</v>
      </c>
      <c r="D38" s="71">
        <f>IFERROR(VLOOKUP("Th-229",$A$4:$L$32,4)/$B38,0)</f>
        <v>270.06840805446683</v>
      </c>
      <c r="E38" s="72">
        <f t="shared" si="64"/>
        <v>3.2499834743961453E-2</v>
      </c>
      <c r="F38" s="70">
        <f>IFERROR(VLOOKUP("Th-229",$A$4:$L$32,6)/$B38,0)</f>
        <v>1.202638610177522E-3</v>
      </c>
      <c r="G38" s="71">
        <f>IFERROR(VLOOKUP("Th-229",$A$4:$L$32,7)/$B38,0)</f>
        <v>9.9925310980152826</v>
      </c>
      <c r="H38" s="72">
        <f t="shared" si="66"/>
        <v>1.202493885526575E-3</v>
      </c>
      <c r="I38" s="70">
        <f>IFERROR(VLOOKUP("Th-229",$A$4:$L$32,9)/$B38,0)</f>
        <v>1.529758912445504E-10</v>
      </c>
      <c r="J38" s="71">
        <f>IFERROR(VLOOKUP("Th-229",$A$4:$L$32,10)/$B38,0)</f>
        <v>1.2710521162148071E-6</v>
      </c>
      <c r="K38" s="72">
        <f>IFERROR(VLOOKUP("Th-229",$A$4:$L$32,11)/$B38,0)</f>
        <v>1.5295748223765813E-10</v>
      </c>
      <c r="L38" s="69">
        <f t="shared" si="63"/>
        <v>7.2149633131594433</v>
      </c>
    </row>
    <row r="39" spans="1:12">
      <c r="A39" s="31" t="s">
        <v>180</v>
      </c>
      <c r="B39" s="32">
        <v>1</v>
      </c>
      <c r="C39" s="70">
        <f>IFERROR(VLOOKUP("Ra-225",$A$4:$L$32,3)/$B39,0)</f>
        <v>0.16284507393861469</v>
      </c>
      <c r="D39" s="71">
        <f>IFERROR(VLOOKUP("Ra-225",$A$4:$L$32,4)/$B39,0)</f>
        <v>2079.7551296794832</v>
      </c>
      <c r="E39" s="72">
        <f t="shared" si="64"/>
        <v>0.16283232414827298</v>
      </c>
      <c r="F39" s="70">
        <f>IFERROR(VLOOKUP("Ra-225",$A$4:$L$32,6)/$B39,0)</f>
        <v>6.0252677357287496E-3</v>
      </c>
      <c r="G39" s="71">
        <f>IFERROR(VLOOKUP("Ra-225",$A$4:$L$32,7)/$B39,0)</f>
        <v>76.950939798140951</v>
      </c>
      <c r="H39" s="72">
        <f t="shared" si="66"/>
        <v>6.0247959934861062E-3</v>
      </c>
      <c r="I39" s="70">
        <f>IFERROR(VLOOKUP("Ra-225",$A$4:$L$32,9)/$B39,0)</f>
        <v>4.1880183809911486E-15</v>
      </c>
      <c r="J39" s="71">
        <f>IFERROR(VLOOKUP("Ra-225",$A$4:$L$32,10)/$B39,0)</f>
        <v>5.3486743567948556E-11</v>
      </c>
      <c r="K39" s="72">
        <f>IFERROR(VLOOKUP("Ra-225",$A$4:$L$32,11)/$B39,0)</f>
        <v>4.1876904843283062E-15</v>
      </c>
      <c r="L39" s="69">
        <f t="shared" si="63"/>
        <v>36.148775960916602</v>
      </c>
    </row>
    <row r="40" spans="1:12">
      <c r="A40" s="31" t="s">
        <v>181</v>
      </c>
      <c r="B40" s="32">
        <v>1</v>
      </c>
      <c r="C40" s="70">
        <f>IFERROR(VLOOKUP("Ac-225",$A$4:$L$32,3)/$B40,0)</f>
        <v>0.42019091617321302</v>
      </c>
      <c r="D40" s="71">
        <f>IFERROR(VLOOKUP("Ac-225",$A$4:$L$32,4)/$B40,0)</f>
        <v>1477.0633278354287</v>
      </c>
      <c r="E40" s="72">
        <f t="shared" si="64"/>
        <v>0.42007141541141524</v>
      </c>
      <c r="F40" s="70">
        <f>IFERROR(VLOOKUP("Ac-225",$A$4:$L$32,6)/$B40,0)</f>
        <v>1.5547063898408897E-2</v>
      </c>
      <c r="G40" s="71">
        <f>IFERROR(VLOOKUP("Ac-225",$A$4:$L$32,7)/$B40,0)</f>
        <v>54.65134312991092</v>
      </c>
      <c r="H40" s="72">
        <f t="shared" si="66"/>
        <v>1.5542642370222381E-2</v>
      </c>
      <c r="I40" s="70">
        <f>IFERROR(VLOOKUP("Ac-225",$A$4:$L$32,9)/$B40,0)</f>
        <v>7.2526103339487135E-15</v>
      </c>
      <c r="J40" s="71">
        <f>IFERROR(VLOOKUP("Ac-225",$A$4:$L$32,10)/$B40,0)</f>
        <v>2.549451771332421E-11</v>
      </c>
      <c r="K40" s="72">
        <f>IFERROR(VLOOKUP("Ac-225",$A$4:$L$32,11)/$B40,0)</f>
        <v>7.2505477180601483E-15</v>
      </c>
      <c r="L40" s="69">
        <f t="shared" si="63"/>
        <v>93.255854221334189</v>
      </c>
    </row>
    <row r="41" spans="1:12">
      <c r="A41" s="31" t="s">
        <v>182</v>
      </c>
      <c r="B41" s="32">
        <v>1</v>
      </c>
      <c r="C41" s="70">
        <f>IFERROR(VLOOKUP("Fr-221",$A$4:$L$32,3)/$B41,0)</f>
        <v>0</v>
      </c>
      <c r="D41" s="71">
        <f>IFERROR(VLOOKUP("Fr-221",$A$4:$L$32,4)/$B41,0)</f>
        <v>1377.6246294905477</v>
      </c>
      <c r="E41" s="72">
        <f t="shared" si="64"/>
        <v>1377.6246294905477</v>
      </c>
      <c r="F41" s="70">
        <f>IFERROR(VLOOKUP("Fr-221",$A$4:$L$32,6)/$B41,0)</f>
        <v>0</v>
      </c>
      <c r="G41" s="71">
        <f>IFERROR(VLOOKUP("Fr-221",$A$4:$L$32,7)/$B41,0)</f>
        <v>50.97211129115032</v>
      </c>
      <c r="H41" s="72">
        <f t="shared" si="66"/>
        <v>50.972111291150327</v>
      </c>
      <c r="I41" s="70">
        <f>IFERROR(VLOOKUP("Fr-221",$A$4:$L$32,9)/$B41,0)</f>
        <v>0</v>
      </c>
      <c r="J41" s="71">
        <f>IFERROR(VLOOKUP("Fr-221",$A$4:$L$32,10)/$B41,0)</f>
        <v>7.9473424497162963E-15</v>
      </c>
      <c r="K41" s="72">
        <f>IFERROR(VLOOKUP("Fr-221",$A$4:$L$32,11)/$B41,0)</f>
        <v>7.9473424497162963E-15</v>
      </c>
      <c r="L41" s="69">
        <f t="shared" si="63"/>
        <v>305832.66774690157</v>
      </c>
    </row>
    <row r="42" spans="1:12">
      <c r="A42" s="31" t="s">
        <v>183</v>
      </c>
      <c r="B42" s="32">
        <v>1</v>
      </c>
      <c r="C42" s="70">
        <f>IFERROR(VLOOKUP("At-217",$A$4:$L$32,3)/$B42,0)</f>
        <v>0</v>
      </c>
      <c r="D42" s="71">
        <f>IFERROR(VLOOKUP("At-217",$A$4:$L$32,4)/$B42,0)</f>
        <v>172715.41115562711</v>
      </c>
      <c r="E42" s="72">
        <f t="shared" si="64"/>
        <v>172715.41115562711</v>
      </c>
      <c r="F42" s="70">
        <f>IFERROR(VLOOKUP("At-217",$A$4:$L$32,6)/$B42,0)</f>
        <v>0</v>
      </c>
      <c r="G42" s="71">
        <f>IFERROR(VLOOKUP("At-217",$A$4:$L$32,7)/$B42,0)</f>
        <v>6390.4702127582095</v>
      </c>
      <c r="H42" s="72">
        <f t="shared" si="66"/>
        <v>6390.4702127582095</v>
      </c>
      <c r="I42" s="70">
        <f>IFERROR(VLOOKUP("At-217",$A$4:$L$32,9)/$B42,0)</f>
        <v>0</v>
      </c>
      <c r="J42" s="71">
        <f>IFERROR(VLOOKUP("At-217",$A$4:$L$32,10)/$B42,0)</f>
        <v>1.0748423539214071E-16</v>
      </c>
      <c r="K42" s="72">
        <f>IFERROR(VLOOKUP("At-217",$A$4:$L$32,11)/$B42,0)</f>
        <v>1.0748423539214071E-16</v>
      </c>
      <c r="L42" s="69">
        <f t="shared" si="63"/>
        <v>38342821.27654922</v>
      </c>
    </row>
    <row r="43" spans="1:12">
      <c r="A43" s="31" t="s">
        <v>184</v>
      </c>
      <c r="B43" s="33">
        <v>0.99987999999999999</v>
      </c>
      <c r="C43" s="70">
        <f>IFERROR(VLOOKUP("Bi-213",$A$4:$L$32,3)/$B43,0)</f>
        <v>81.925837990892362</v>
      </c>
      <c r="D43" s="71">
        <f>IFERROR(VLOOKUP("Bi-213",$A$4:$L$32,4)/$B43,0)</f>
        <v>280.80603558577394</v>
      </c>
      <c r="E43" s="72">
        <f t="shared" si="64"/>
        <v>63.422245063342977</v>
      </c>
      <c r="F43" s="70">
        <f>IFERROR(VLOOKUP("Bi-213",$A$4:$L$32,6)/$B43,0)</f>
        <v>3.0312560056630202</v>
      </c>
      <c r="G43" s="71">
        <f>IFERROR(VLOOKUP("Bi-213",$A$4:$L$32,7)/$B43,0)</f>
        <v>10.389823316673647</v>
      </c>
      <c r="H43" s="72">
        <f t="shared" si="66"/>
        <v>2.3466230673436921</v>
      </c>
      <c r="I43" s="70">
        <f>IFERROR(VLOOKUP("Bi-213",$A$4:$L$32,9)/$B43,0)</f>
        <v>4.2381152514620649E-15</v>
      </c>
      <c r="J43" s="71">
        <f>IFERROR(VLOOKUP("Bi-213",$A$4:$L$32,10)/$B43,0)</f>
        <v>1.4526410364590588E-14</v>
      </c>
      <c r="K43" s="72">
        <f>IFERROR(VLOOKUP("Bi-213",$A$4:$L$32,11)/$B43,0)</f>
        <v>3.2809036889534141E-15</v>
      </c>
      <c r="L43" s="69">
        <f t="shared" si="63"/>
        <v>14079.73840406214</v>
      </c>
    </row>
    <row r="44" spans="1:12">
      <c r="A44" s="31" t="s">
        <v>185</v>
      </c>
      <c r="B44" s="32">
        <v>0.97898250799999997</v>
      </c>
      <c r="C44" s="70">
        <f>IFERROR(VLOOKUP("Po-213",$A$4:$L$32,3)/$B44,0)</f>
        <v>0</v>
      </c>
      <c r="D44" s="71">
        <f>IFERROR(VLOOKUP("Po-213",$A$4:$L$32,4)/$B44,0)</f>
        <v>1426800.1554522498</v>
      </c>
      <c r="E44" s="72">
        <f t="shared" si="64"/>
        <v>1426800.1554522498</v>
      </c>
      <c r="F44" s="70">
        <f>IFERROR(VLOOKUP("Po-213",$A$4:$L$32,6)/$B44,0)</f>
        <v>0</v>
      </c>
      <c r="G44" s="71">
        <f>IFERROR(VLOOKUP("Po-213",$A$4:$L$32,7)/$B44,0)</f>
        <v>52791.605751733296</v>
      </c>
      <c r="H44" s="72">
        <f t="shared" si="66"/>
        <v>52791.605751733288</v>
      </c>
      <c r="I44" s="70">
        <f>IFERROR(VLOOKUP("Po-213",$A$4:$L$32,9)/$B44,0)</f>
        <v>0</v>
      </c>
      <c r="J44" s="71">
        <f>IFERROR(VLOOKUP("Po-213",$A$4:$L$32,10)/$B44,0)</f>
        <v>1.1332962878580664E-19</v>
      </c>
      <c r="K44" s="72">
        <f>IFERROR(VLOOKUP("Po-213",$A$4:$L$32,11)/$B44,0)</f>
        <v>1.1332962878580664E-19</v>
      </c>
      <c r="L44" s="69">
        <f t="shared" si="63"/>
        <v>316749634.51039952</v>
      </c>
    </row>
    <row r="45" spans="1:12">
      <c r="A45" s="31" t="s">
        <v>186</v>
      </c>
      <c r="B45" s="32">
        <v>2.0897492E-2</v>
      </c>
      <c r="C45" s="70">
        <f>IFERROR(VLOOKUP("Tl-209",$A$4:$L$32,3)/$B45,0)</f>
        <v>0</v>
      </c>
      <c r="D45" s="71">
        <f>IFERROR(VLOOKUP("Tl-209",$A$4:$L$32,4)/$B45,0)</f>
        <v>1175.882695745209</v>
      </c>
      <c r="E45" s="72">
        <f t="shared" si="64"/>
        <v>1175.882695745209</v>
      </c>
      <c r="F45" s="70">
        <f>IFERROR(VLOOKUP("Tl-209",$A$4:$L$32,6)/$B45,0)</f>
        <v>0</v>
      </c>
      <c r="G45" s="71">
        <f>IFERROR(VLOOKUP("Tl-209",$A$4:$L$32,7)/$B45,0)</f>
        <v>43.507659742572777</v>
      </c>
      <c r="H45" s="72">
        <f t="shared" si="66"/>
        <v>43.507659742572777</v>
      </c>
      <c r="I45" s="70">
        <f>IFERROR(VLOOKUP("Tl-209",$A$4:$L$32,9)/$B45,0)</f>
        <v>0</v>
      </c>
      <c r="J45" s="71">
        <f>IFERROR(VLOOKUP("Tl-209",$A$4:$L$32,10)/$B45,0)</f>
        <v>2.8292265643488441E-15</v>
      </c>
      <c r="K45" s="72">
        <f>IFERROR(VLOOKUP("Tl-209",$A$4:$L$32,11)/$B45,0)</f>
        <v>2.8292265643488441E-15</v>
      </c>
      <c r="L45" s="69">
        <f t="shared" si="63"/>
        <v>261045.95845543646</v>
      </c>
    </row>
    <row r="46" spans="1:12">
      <c r="A46" s="31" t="s">
        <v>187</v>
      </c>
      <c r="B46" s="32">
        <v>0.99987999999999999</v>
      </c>
      <c r="C46" s="70">
        <f>IFERROR(VLOOKUP("Pb-209",$A$4:$L$32,3)/$B46,0)</f>
        <v>286.09022790470345</v>
      </c>
      <c r="D46" s="71">
        <f>IFERROR(VLOOKUP("Pb-209",$A$4:$L$32,4)/$B46,0)</f>
        <v>3769.5104881489824</v>
      </c>
      <c r="E46" s="72">
        <f t="shared" si="64"/>
        <v>265.90884807148183</v>
      </c>
      <c r="F46" s="70">
        <f>IFERROR(VLOOKUP("Pb-209",$A$4:$L$32,6)/$B46,0)</f>
        <v>10.585338432474037</v>
      </c>
      <c r="G46" s="71">
        <f>IFERROR(VLOOKUP("Pb-209",$A$4:$L$32,7)/$B46,0)</f>
        <v>139.47188806151252</v>
      </c>
      <c r="H46" s="72">
        <f t="shared" si="66"/>
        <v>9.8386273786448353</v>
      </c>
      <c r="I46" s="70">
        <f>IFERROR(VLOOKUP("Pb-209",$A$4:$L$32,9)/$B46,0)</f>
        <v>6.2170920600007365E-14</v>
      </c>
      <c r="J46" s="71">
        <f>IFERROR(VLOOKUP("Pb-209",$A$4:$L$32,10)/$B46,0)</f>
        <v>8.1916093036798398E-13</v>
      </c>
      <c r="K46" s="72">
        <f>IFERROR(VLOOKUP("Pb-209",$A$4:$L$32,11)/$B46,0)</f>
        <v>5.7785258872240317E-14</v>
      </c>
      <c r="L46" s="69">
        <f t="shared" si="63"/>
        <v>59031.764271868975</v>
      </c>
    </row>
    <row r="47" spans="1:12">
      <c r="A47" s="30" t="s">
        <v>17</v>
      </c>
      <c r="B47" s="30" t="s">
        <v>59</v>
      </c>
      <c r="C47" s="76">
        <f>IFERROR(1/SUM(1/C48),0)</f>
        <v>1.1926006885504428</v>
      </c>
      <c r="D47" s="77">
        <f>IFERROR(1/SUM(1/D48,1/D49),0)</f>
        <v>88.549234622333401</v>
      </c>
      <c r="E47" s="78">
        <f>IFERROR(1/SUM(1/E48,1/E49),".")</f>
        <v>1.1767519330909197</v>
      </c>
      <c r="F47" s="76">
        <f>IFERROR(1/SUM(1/F48),0)</f>
        <v>4.4126225476366431E-2</v>
      </c>
      <c r="G47" s="77">
        <f>IFERROR(1/SUM(1/G48,1/G49),0)</f>
        <v>3.2763216810263387</v>
      </c>
      <c r="H47" s="78">
        <f>IFERROR(1/SUM(1/H48,1/H49),".")</f>
        <v>4.3539821524364072E-2</v>
      </c>
      <c r="I47" s="73">
        <f>IFERROR(C47*Isospec!$C$11*Isospec!$F$11*SSLcm_m,".")</f>
        <v>1.3800893903230278E-11</v>
      </c>
      <c r="J47" s="74">
        <f>IFERROR(D47*Isospec!$C$11*Isospec!$F$11*SSLcm_m,".")</f>
        <v>1.0247005590114412E-9</v>
      </c>
      <c r="K47" s="75">
        <f>IFERROR(E47*Isospec!$C$11*Isospec!$F$11*SSLcm_m,".")</f>
        <v>1.3617490527150583E-11</v>
      </c>
      <c r="L47" s="68">
        <f t="shared" si="63"/>
        <v>261.2389291461842</v>
      </c>
    </row>
    <row r="48" spans="1:12">
      <c r="A48" s="31" t="s">
        <v>188</v>
      </c>
      <c r="B48" s="32">
        <v>1</v>
      </c>
      <c r="C48" s="70">
        <f>IFERROR(VLOOKUP("Cs-137",$A$4:$L$32,3)/$B48,0)</f>
        <v>1.1926006885504428</v>
      </c>
      <c r="D48" s="71">
        <f>IFERROR(VLOOKUP("Cs-137",$A$4:$L$32,4)/$B48,0)</f>
        <v>14649.057697138613</v>
      </c>
      <c r="E48" s="72">
        <f>IFERROR(IF(AND(C48&lt;&gt;0,D48&lt;&gt;0),(1/((1/C48)+(1/D48))),IF(AND(C48&lt;&gt;0,D48=0),(1/(1/C48)),IF(AND(C48=0,D48&lt;&gt;0),(1/(1/D48)),0))),0)</f>
        <v>1.1925036051304727</v>
      </c>
      <c r="F48" s="70">
        <f>IFERROR(VLOOKUP("Cs-137",$A$4:$L$32,6)/$B48,0)</f>
        <v>4.4126225476366431E-2</v>
      </c>
      <c r="G48" s="71">
        <f>IFERROR(VLOOKUP("Cs-137",$A$4:$L$32,7)/$B48,0)</f>
        <v>542.01513479412927</v>
      </c>
      <c r="H48" s="72">
        <f>IFERROR(IF(AND(F48&lt;&gt;0,G48&lt;&gt;0),(1/((1/F48)+(1/G48))),IF(AND(F48&lt;&gt;0,G48=0),(1/(1/F48)),IF(AND(F48=0,G48&lt;&gt;0),(1/(1/G48)),0))),0)</f>
        <v>4.4122633389827533E-2</v>
      </c>
      <c r="I48" s="70">
        <f>IFERROR(VLOOKUP("Cs-137",$A$4:$L$32,9)/$B48,0)</f>
        <v>1.3800893903230278E-11</v>
      </c>
      <c r="J48" s="71">
        <f>IFERROR(VLOOKUP("Cs-137",$A$4:$L$32,10)/$B48,0)</f>
        <v>1.6952035413147236E-7</v>
      </c>
      <c r="K48" s="72">
        <f>IFERROR(VLOOKUP("Cs-137",$A$4:$L$32,11)/$B48,0)</f>
        <v>1.3799770444228756E-11</v>
      </c>
      <c r="L48" s="69">
        <f t="shared" si="63"/>
        <v>264.73580033896496</v>
      </c>
    </row>
    <row r="49" spans="1:12">
      <c r="A49" s="31" t="s">
        <v>189</v>
      </c>
      <c r="B49" s="32">
        <v>0.94399</v>
      </c>
      <c r="C49" s="70">
        <f>IFERROR(VLOOKUP("Ba-137m",$A$4:$L$32,3)/$B49,0)</f>
        <v>0</v>
      </c>
      <c r="D49" s="71">
        <f>IFERROR(VLOOKUP("Ba-137m",$A$4:$L$32,4)/$B49,0)</f>
        <v>89.087743766597569</v>
      </c>
      <c r="E49" s="72">
        <f>IFERROR(IF(AND(C49&lt;&gt;0,D49&lt;&gt;0),(1/((1/C49)+(1/D49))),IF(AND(C49&lt;&gt;0,D49=0),(1/(1/C49)),IF(AND(C49=0,D49&lt;&gt;0),(1/(1/D49)),0))),0)</f>
        <v>89.087743766597569</v>
      </c>
      <c r="F49" s="70">
        <f>IFERROR(VLOOKUP("Ba-137m",$A$4:$L$32,6)/$B49,0)</f>
        <v>0</v>
      </c>
      <c r="G49" s="71">
        <f>IFERROR(VLOOKUP("Ba-137m",$A$4:$L$32,7)/$B49,0)</f>
        <v>3.2962465193641135</v>
      </c>
      <c r="H49" s="72">
        <f>IFERROR(IF(AND(F49&lt;&gt;0,G49&lt;&gt;0),(1/((1/F49)+(1/G49))),IF(AND(F49&lt;&gt;0,G49=0),(1/(1/F49)),IF(AND(F49=0,G49&lt;&gt;0),(1/(1/G49)),0))),0)</f>
        <v>3.2962465193641135</v>
      </c>
      <c r="I49" s="70">
        <f>IFERROR(VLOOKUP("Ba-137m",$A$4:$L$32,9)/$B49,0)</f>
        <v>0</v>
      </c>
      <c r="J49" s="71">
        <f>IFERROR(VLOOKUP("Ba-137m",$A$4:$L$32,10)/$B49,0)</f>
        <v>1.6592883811763231E-16</v>
      </c>
      <c r="K49" s="72">
        <f>IFERROR(VLOOKUP("Ba-137m",$A$4:$L$32,11)/$B49,0)</f>
        <v>1.6592883811763231E-16</v>
      </c>
      <c r="L49" s="69">
        <f t="shared" si="63"/>
        <v>19777.479116184662</v>
      </c>
    </row>
    <row r="50" spans="1:12">
      <c r="A50" s="30" t="s">
        <v>27</v>
      </c>
      <c r="B50" s="30" t="s">
        <v>59</v>
      </c>
      <c r="C50" s="76">
        <f>IFERROR(1/SUM(1/C51,1/C56,1/C57,1/C60,1/C61,1/C62),0)</f>
        <v>7.4143621917612231E-3</v>
      </c>
      <c r="D50" s="77">
        <f>IFERROR(1/SUM(1/D51,1/D52,1/D53,1/D56,1/D54,1/D57,1/D55,1/D58,1/D59,1/D60,1/D61,1/D63,1/D62,1/D64),0)</f>
        <v>28.475263725125387</v>
      </c>
      <c r="E50" s="78">
        <f>IFERROR(1/SUM(1/E51,1/E52,1/E53,1/E56,1/E54,1/E57,1/E55,1/E58,1/E59,1/E60,1/E61,1/E63,1/E62,1/E64),0)</f>
        <v>7.4124321497004977E-3</v>
      </c>
      <c r="F50" s="76">
        <f>IFERROR(1/SUM(1/F51,1/F56,1/F57,1/F60,1/F61,1/F62),0)</f>
        <v>2.7433140109516554E-4</v>
      </c>
      <c r="G50" s="77">
        <f>IFERROR(1/SUM(1/G51,1/G52,1/G53,1/G56,1/G54,1/G57,1/G55,1/G58,1/G59,1/G60,1/G61,1/G63,1/G62,1/G64),0)</f>
        <v>1.0535847578296407</v>
      </c>
      <c r="H50" s="78">
        <f>IFERROR(1/SUM(1/H51,1/H52,1/H53,1/H56,1/H54,1/H57,1/H55,1/H58,1/H59,1/H60,1/H61,1/H63,1/H62,1/H64),0)</f>
        <v>2.7425998953891869E-4</v>
      </c>
      <c r="I50" s="73">
        <f>IFERROR(C50*Isospec!$C$24*Isospec!$F$24*SSLcm_m,".")</f>
        <v>7.5068934319144036E-12</v>
      </c>
      <c r="J50" s="74">
        <f>IFERROR(D50*Isospec!$C$24*Isospec!$F$24*SSLcm_m,".")</f>
        <v>2.8830635016414954E-8</v>
      </c>
      <c r="K50" s="75">
        <f>IFERROR(E50*Isospec!$C$24*Isospec!$F$24*SSLcm_m,".")</f>
        <v>7.5049393029287603E-12</v>
      </c>
      <c r="L50" s="68">
        <f t="shared" si="63"/>
        <v>1.6455599372335106</v>
      </c>
    </row>
    <row r="51" spans="1:12">
      <c r="A51" s="31" t="s">
        <v>190</v>
      </c>
      <c r="B51" s="32">
        <v>1</v>
      </c>
      <c r="C51" s="70">
        <f>IFERROR(VLOOKUP("Ra-226",$A$4:$L$32,3)/$B51,0)</f>
        <v>5.7926319158164367E-2</v>
      </c>
      <c r="D51" s="71">
        <f>IFERROR(VLOOKUP("Ra-226",$A$4:$L$32,4)/$B51,0)</f>
        <v>5126.2819012555665</v>
      </c>
      <c r="E51" s="72">
        <f t="shared" ref="E51:E64" si="67">IFERROR(IF(AND(C51&lt;&gt;0,D51&lt;&gt;0),(1/((1/C51)+(1/D51))),IF(AND(C51&lt;&gt;0,D51=0),(1/(1/C51)),IF(AND(C51=0,D51&lt;&gt;0),(1/(1/D51)),0))),0)</f>
        <v>5.792566460568363E-2</v>
      </c>
      <c r="F51" s="70">
        <f>IFERROR(VLOOKUP("Ra-226",$A$4:$L$32,6)/$B51,0)</f>
        <v>2.1432738088520836E-3</v>
      </c>
      <c r="G51" s="71">
        <f>IFERROR(VLOOKUP("Ra-226",$A$4:$L$32,7)/$B51,0)</f>
        <v>189.67243034645614</v>
      </c>
      <c r="H51" s="72">
        <f t="shared" ref="H51:H64" si="68">IFERROR(IF(AND(F51&lt;&gt;0,G51&lt;&gt;0),(1/((1/F51)+(1/G51))),IF(AND(F51&lt;&gt;0,G51=0),(1/(1/F51)),IF(AND(F51=0,G51&lt;&gt;0),(1/(1/G51)),0))),0)</f>
        <v>2.1432495904102965E-3</v>
      </c>
      <c r="I51" s="70">
        <f>IFERROR(VLOOKUP("Ra-226",$A$4:$L$32,9)/$B51,0)</f>
        <v>5.8649239621258257E-11</v>
      </c>
      <c r="J51" s="71">
        <f>IFERROR(VLOOKUP("Ra-226",$A$4:$L$32,10)/$B51,0)</f>
        <v>5.1902578993832358E-6</v>
      </c>
      <c r="K51" s="72">
        <f>IFERROR(VLOOKUP("Ra-226",$A$4:$L$32,11)/$B51,0)</f>
        <v>5.8648576899962559E-11</v>
      </c>
      <c r="L51" s="69">
        <f t="shared" si="63"/>
        <v>12.859497542461767</v>
      </c>
    </row>
    <row r="52" spans="1:12">
      <c r="A52" s="31" t="s">
        <v>191</v>
      </c>
      <c r="B52" s="32">
        <v>1</v>
      </c>
      <c r="C52" s="70">
        <f>IFERROR(VLOOKUP("Rn-222",$A$4:$L$32,3)/$B52,0)</f>
        <v>0</v>
      </c>
      <c r="D52" s="71">
        <f>IFERROR(VLOOKUP("Rn-222",$A$4:$L$32,4)/$B52,0)</f>
        <v>130442.23371091123</v>
      </c>
      <c r="E52" s="72">
        <f t="shared" si="67"/>
        <v>130442.23371091123</v>
      </c>
      <c r="F52" s="70">
        <f>IFERROR(VLOOKUP("Rn-222",$A$4:$L$32,6)/$B52,0)</f>
        <v>0</v>
      </c>
      <c r="G52" s="71">
        <f>IFERROR(VLOOKUP("Rn-222",$A$4:$L$32,7)/$B52,0)</f>
        <v>4826.3626473037202</v>
      </c>
      <c r="H52" s="72">
        <f t="shared" si="68"/>
        <v>4826.3626473037202</v>
      </c>
      <c r="I52" s="70">
        <f>IFERROR(VLOOKUP("Rn-222",$A$4:$L$32,9)/$B52,0)</f>
        <v>0</v>
      </c>
      <c r="J52" s="71">
        <f>IFERROR(VLOOKUP("Rn-222",$A$4:$L$32,10)/$B52,0)</f>
        <v>8.4937106678633471E-10</v>
      </c>
      <c r="K52" s="72">
        <f>IFERROR(VLOOKUP("Rn-222",$A$4:$L$32,11)/$B52,0)</f>
        <v>8.4937106678633471E-10</v>
      </c>
      <c r="L52" s="69">
        <f t="shared" si="63"/>
        <v>28958175.883822296</v>
      </c>
    </row>
    <row r="53" spans="1:12">
      <c r="A53" s="31" t="s">
        <v>192</v>
      </c>
      <c r="B53" s="32">
        <v>1</v>
      </c>
      <c r="C53" s="70">
        <f>IFERROR(VLOOKUP("Po-218",$A$4:$L$32,3)/$B53,0)</f>
        <v>0</v>
      </c>
      <c r="D53" s="71">
        <f>IFERROR(VLOOKUP("Po-218",$A$4:$L$32,4)/$B53,0)</f>
        <v>1808014359.1850209</v>
      </c>
      <c r="E53" s="72">
        <f t="shared" si="67"/>
        <v>1808014359.1850207</v>
      </c>
      <c r="F53" s="70">
        <f>IFERROR(VLOOKUP("Po-218",$A$4:$L$32,6)/$B53,0)</f>
        <v>0</v>
      </c>
      <c r="G53" s="71">
        <f>IFERROR(VLOOKUP("Po-218",$A$4:$L$32,7)/$B53,0)</f>
        <v>66896531.289845839</v>
      </c>
      <c r="H53" s="72">
        <f t="shared" si="68"/>
        <v>66896531.289845832</v>
      </c>
      <c r="I53" s="70">
        <f>IFERROR(VLOOKUP("Po-218",$A$4:$L$32,9)/$B53,0)</f>
        <v>0</v>
      </c>
      <c r="J53" s="71">
        <f>IFERROR(VLOOKUP("Po-218",$A$4:$L$32,10)/$B53,0)</f>
        <v>6.5091268855103811E-9</v>
      </c>
      <c r="K53" s="72">
        <f>IFERROR(VLOOKUP("Po-218",$A$4:$L$32,11)/$B53,0)</f>
        <v>6.5091268855103811E-9</v>
      </c>
      <c r="L53" s="69">
        <f t="shared" si="63"/>
        <v>401379187739.07458</v>
      </c>
    </row>
    <row r="54" spans="1:12">
      <c r="A54" s="31" t="s">
        <v>194</v>
      </c>
      <c r="B54" s="32">
        <v>2.0000000000000001E-4</v>
      </c>
      <c r="C54" s="70">
        <f>IFERROR(VLOOKUP("At-218",$A$4:$L$32,3)/$B54,0)</f>
        <v>0</v>
      </c>
      <c r="D54" s="71">
        <f>IFERROR(VLOOKUP("At-218",$A$4:$L$32,4)/$B54,0)</f>
        <v>480931819.54321563</v>
      </c>
      <c r="E54" s="72">
        <f>IFERROR(IF(AND(C54&lt;&gt;0,D54&lt;&gt;0),(1/((1/C54)+(1/D54))),IF(AND(C54&lt;&gt;0,D54=0),(1/(1/C54)),IF(AND(C54=0,D54&lt;&gt;0),(1/(1/D54)),0))),0)</f>
        <v>480931819.54321563</v>
      </c>
      <c r="F54" s="70">
        <f>IFERROR(VLOOKUP("At-218",$A$4:$L$32,6)/$B54,0)</f>
        <v>0</v>
      </c>
      <c r="G54" s="71">
        <f>IFERROR(VLOOKUP("At-218",$A$4:$L$32,7)/$B54,0)</f>
        <v>17794477.323098995</v>
      </c>
      <c r="H54" s="72">
        <f>IFERROR(IF(AND(F54&lt;&gt;0,G54&lt;&gt;0),(1/((1/F54)+(1/G54))),IF(AND(F54&lt;&gt;0,G54=0),(1/(1/F54)),IF(AND(F54=0,G54&lt;&gt;0),(1/(1/G54)),0))),0)</f>
        <v>17794477.323098995</v>
      </c>
      <c r="I54" s="70">
        <f>IFERROR(VLOOKUP("At-218",$A$4:$L$32,9)/$B54,0)</f>
        <v>0</v>
      </c>
      <c r="J54" s="71">
        <f>IFERROR(VLOOKUP("At-218",$A$4:$L$32,10)/$B54,0)</f>
        <v>1.396312702859492E-11</v>
      </c>
      <c r="K54" s="72">
        <f>IFERROR(VLOOKUP("At-218",$A$4:$L$32,11)/$B54,0)</f>
        <v>1.396312702859492E-11</v>
      </c>
      <c r="L54" s="69">
        <f>IF(E54&lt;&gt;".",E54*2.22*100,".")</f>
        <v>106766863938.59387</v>
      </c>
    </row>
    <row r="55" spans="1:12">
      <c r="A55" s="31" t="s">
        <v>196</v>
      </c>
      <c r="B55" s="32">
        <v>1.9999999999999999E-7</v>
      </c>
      <c r="C55" s="70">
        <f>IFERROR(VLOOKUP("Rn-218",$A$4:$L$32,3)/$B55,0)</f>
        <v>0</v>
      </c>
      <c r="D55" s="71">
        <f>IFERROR(VLOOKUP("Rn-218",$A$4:$L$32,4)/$B55,0)</f>
        <v>335114025831.89905</v>
      </c>
      <c r="E55" s="72">
        <f>IFERROR(IF(AND(C55&lt;&gt;0,D55&lt;&gt;0),(1/((1/C55)+(1/D55))),IF(AND(C55&lt;&gt;0,D55=0),(1/(1/C55)),IF(AND(C55=0,D55&lt;&gt;0),(1/(1/D55)),0))),0)</f>
        <v>335114025831.89905</v>
      </c>
      <c r="F55" s="70">
        <f>IFERROR(VLOOKUP("Rn-218",$A$4:$L$32,6)/$B55,0)</f>
        <v>0</v>
      </c>
      <c r="G55" s="71">
        <f>IFERROR(VLOOKUP("Rn-218",$A$4:$L$32,7)/$B55,0)</f>
        <v>12399218955.780277</v>
      </c>
      <c r="H55" s="72">
        <f>IFERROR(IF(AND(F55&lt;&gt;0,G55&lt;&gt;0),(1/((1/F55)+(1/G55))),IF(AND(F55&lt;&gt;0,G55=0),(1/(1/F55)),IF(AND(F55=0,G55&lt;&gt;0),(1/(1/G55)),0))),0)</f>
        <v>12399218955.780277</v>
      </c>
      <c r="I55" s="70">
        <f>IFERROR(VLOOKUP("Rn-218",$A$4:$L$32,9)/$B55,0)</f>
        <v>0</v>
      </c>
      <c r="J55" s="71">
        <f>IFERROR(VLOOKUP("Rn-218",$A$4:$L$32,10)/$B55,0)</f>
        <v>2.2702232521159774E-10</v>
      </c>
      <c r="K55" s="72">
        <f>IFERROR(VLOOKUP("Rn-218",$A$4:$L$32,11)/$B55,0)</f>
        <v>2.2702232521159774E-10</v>
      </c>
      <c r="L55" s="69">
        <f>IF(E55&lt;&gt;".",E55*2.22*100,".")</f>
        <v>74395313734681.594</v>
      </c>
    </row>
    <row r="56" spans="1:12">
      <c r="A56" s="31" t="s">
        <v>193</v>
      </c>
      <c r="B56" s="32">
        <v>0.99980000000000002</v>
      </c>
      <c r="C56" s="70">
        <f>IFERROR(VLOOKUP("Pb-214",$A$4:$L$32,3)/$B56,0)</f>
        <v>116.7094524249168</v>
      </c>
      <c r="D56" s="71">
        <f>IFERROR(VLOOKUP("Pb-214",$A$4:$L$32,4)/$B56,0)</f>
        <v>163.74864690503992</v>
      </c>
      <c r="E56" s="72">
        <f t="shared" si="67"/>
        <v>68.14213945422307</v>
      </c>
      <c r="F56" s="70">
        <f>IFERROR(VLOOKUP("Pb-214",$A$4:$L$32,6)/$B56,0)</f>
        <v>4.3182497397219262</v>
      </c>
      <c r="G56" s="71">
        <f>IFERROR(VLOOKUP("Pb-214",$A$4:$L$32,7)/$B56,0)</f>
        <v>6.0586999354864828</v>
      </c>
      <c r="H56" s="72">
        <f t="shared" si="68"/>
        <v>2.5212591598062559</v>
      </c>
      <c r="I56" s="70">
        <f>IFERROR(VLOOKUP("Pb-214",$A$4:$L$32,9)/$B56,0)</f>
        <v>3.56580240550353E-15</v>
      </c>
      <c r="J56" s="71">
        <f>IFERROR(VLOOKUP("Pb-214",$A$4:$L$32,10)/$B56,0)</f>
        <v>5.0029822512240757E-15</v>
      </c>
      <c r="K56" s="72">
        <f>IFERROR(VLOOKUP("Pb-214",$A$4:$L$32,11)/$B56,0)</f>
        <v>2.0819342369748832E-15</v>
      </c>
      <c r="L56" s="69">
        <f t="shared" si="63"/>
        <v>15127.554958837523</v>
      </c>
    </row>
    <row r="57" spans="1:12">
      <c r="A57" s="31" t="s">
        <v>195</v>
      </c>
      <c r="B57" s="32">
        <v>0.99999979999999999</v>
      </c>
      <c r="C57" s="70">
        <f>IFERROR(VLOOKUP("Bi-214",$A$4:$L$32,3)/$B57,0)</f>
        <v>144.81582685857629</v>
      </c>
      <c r="D57" s="71">
        <f>IFERROR(VLOOKUP("Bi-214",$A$4:$L$32,4)/$B57,0)</f>
        <v>35.945283364057836</v>
      </c>
      <c r="E57" s="72">
        <f t="shared" si="67"/>
        <v>28.797377520090375</v>
      </c>
      <c r="F57" s="70">
        <f>IFERROR(VLOOKUP("Bi-214",$A$4:$L$32,6)/$B57,0)</f>
        <v>5.3581855937673284</v>
      </c>
      <c r="G57" s="71">
        <f>IFERROR(VLOOKUP("Bi-214",$A$4:$L$32,7)/$B57,0)</f>
        <v>1.3299754844701412</v>
      </c>
      <c r="H57" s="72">
        <f t="shared" si="68"/>
        <v>1.065502968243345</v>
      </c>
      <c r="I57" s="70">
        <f>IFERROR(VLOOKUP("Bi-214",$A$4:$L$32,9)/$B57,0)</f>
        <v>3.2853795752051293E-15</v>
      </c>
      <c r="J57" s="71">
        <f>IFERROR(VLOOKUP("Bi-214",$A$4:$L$32,10)/$B57,0)</f>
        <v>8.1547647346974073E-16</v>
      </c>
      <c r="K57" s="72">
        <f>IFERROR(VLOOKUP("Bi-214",$A$4:$L$32,11)/$B57,0)</f>
        <v>6.5331475140745811E-16</v>
      </c>
      <c r="L57" s="69">
        <f t="shared" si="63"/>
        <v>6393.0178094600642</v>
      </c>
    </row>
    <row r="58" spans="1:12">
      <c r="A58" s="31" t="s">
        <v>197</v>
      </c>
      <c r="B58" s="32">
        <v>0.99979000004200003</v>
      </c>
      <c r="C58" s="70">
        <f>IFERROR(VLOOKUP("Po-214",$A$4:$L$32,3)/$B58,0)</f>
        <v>0</v>
      </c>
      <c r="D58" s="71">
        <f>IFERROR(VLOOKUP("Po-214",$A$4:$L$32,4)/$B58,0)</f>
        <v>636691.06895735417</v>
      </c>
      <c r="E58" s="72">
        <f t="shared" si="67"/>
        <v>636691.06895735417</v>
      </c>
      <c r="F58" s="70">
        <f>IFERROR(VLOOKUP("Po-214",$A$4:$L$32,6)/$B58,0)</f>
        <v>0</v>
      </c>
      <c r="G58" s="71">
        <f>IFERROR(VLOOKUP("Po-214",$A$4:$L$32,7)/$B58,0)</f>
        <v>23557.569551422126</v>
      </c>
      <c r="H58" s="72">
        <f t="shared" si="68"/>
        <v>23557.569551422126</v>
      </c>
      <c r="I58" s="70">
        <f>IFERROR(VLOOKUP("Po-214",$A$4:$L$32,9)/$B58,0)</f>
        <v>0</v>
      </c>
      <c r="J58" s="71">
        <f>IFERROR(VLOOKUP("Po-214",$A$4:$L$32,10)/$B58,0)</f>
        <v>1.9876115837047171E-18</v>
      </c>
      <c r="K58" s="72">
        <f>IFERROR(VLOOKUP("Po-214",$A$4:$L$32,11)/$B58,0)</f>
        <v>1.9876115837047171E-18</v>
      </c>
      <c r="L58" s="69">
        <f t="shared" si="63"/>
        <v>141345417.30853263</v>
      </c>
    </row>
    <row r="59" spans="1:12">
      <c r="A59" s="31" t="s">
        <v>198</v>
      </c>
      <c r="B59" s="32">
        <v>2.0999995799999999E-4</v>
      </c>
      <c r="C59" s="70">
        <f>IFERROR(VLOOKUP("Tl-210",$A$4:$L$32,3)/$B59,0)</f>
        <v>0</v>
      </c>
      <c r="D59" s="71">
        <f>IFERROR(VLOOKUP("Tl-210",$A$4:$L$32,4)/$B59,0)</f>
        <v>88719.730617178066</v>
      </c>
      <c r="E59" s="72">
        <f t="shared" si="67"/>
        <v>88719.730617178066</v>
      </c>
      <c r="F59" s="70">
        <f>IFERROR(VLOOKUP("Tl-210",$A$4:$L$32,6)/$B59,0)</f>
        <v>0</v>
      </c>
      <c r="G59" s="71">
        <f>IFERROR(VLOOKUP("Tl-210",$A$4:$L$32,7)/$B59,0)</f>
        <v>3282.6300328355919</v>
      </c>
      <c r="H59" s="72">
        <f t="shared" si="68"/>
        <v>3282.6300328355919</v>
      </c>
      <c r="I59" s="70">
        <f>IFERROR(VLOOKUP("Tl-210",$A$4:$L$32,9)/$B59,0)</f>
        <v>0</v>
      </c>
      <c r="J59" s="71">
        <f>IFERROR(VLOOKUP("Tl-210",$A$4:$L$32,10)/$B59,0)</f>
        <v>1.290284666738392E-13</v>
      </c>
      <c r="K59" s="72">
        <f>IFERROR(VLOOKUP("Tl-210",$A$4:$L$32,11)/$B59,0)</f>
        <v>1.290284666738392E-13</v>
      </c>
      <c r="L59" s="69">
        <f t="shared" si="63"/>
        <v>19695780.197013535</v>
      </c>
    </row>
    <row r="60" spans="1:12">
      <c r="A60" s="31" t="s">
        <v>199</v>
      </c>
      <c r="B60" s="32">
        <v>1</v>
      </c>
      <c r="C60" s="70">
        <f>IFERROR(VLOOKUP("Pb-210",$A$4:$L$32,3)/$B60,0)</f>
        <v>2.3303691615353478E-2</v>
      </c>
      <c r="D60" s="71">
        <f>IFERROR(VLOOKUP("Pb-210",$A$4:$L$32,4)/$B60,0)</f>
        <v>7216.5271327351347</v>
      </c>
      <c r="E60" s="72">
        <f t="shared" si="67"/>
        <v>2.3303616363050086E-2</v>
      </c>
      <c r="F60" s="70">
        <f>IFERROR(VLOOKUP("Pb-210",$A$4:$L$32,6)/$B60,0)</f>
        <v>8.6223658976807959E-4</v>
      </c>
      <c r="G60" s="71">
        <f>IFERROR(VLOOKUP("Pb-210",$A$4:$L$32,7)/$B60,0)</f>
        <v>267.01150391120024</v>
      </c>
      <c r="H60" s="72">
        <f t="shared" si="68"/>
        <v>8.6223380543285389E-4</v>
      </c>
      <c r="I60" s="70">
        <f>IFERROR(VLOOKUP("Pb-210",$A$4:$L$32,9)/$B60,0)</f>
        <v>3.0419706887017821E-13</v>
      </c>
      <c r="J60" s="71">
        <f>IFERROR(VLOOKUP("Pb-210",$A$4:$L$32,10)/$B60,0)</f>
        <v>9.4201658579871346E-8</v>
      </c>
      <c r="K60" s="72">
        <f>IFERROR(VLOOKUP("Pb-210",$A$4:$L$32,11)/$B60,0)</f>
        <v>3.0419608655671064E-13</v>
      </c>
      <c r="L60" s="69">
        <f t="shared" si="63"/>
        <v>5.1734028325971195</v>
      </c>
    </row>
    <row r="61" spans="1:12">
      <c r="A61" s="31" t="s">
        <v>200</v>
      </c>
      <c r="B61" s="32">
        <v>1</v>
      </c>
      <c r="C61" s="70">
        <f>IFERROR(VLOOKUP("Bi-210",$A$4:$L$32,3)/$B61,0)</f>
        <v>12.381197988004596</v>
      </c>
      <c r="D61" s="71">
        <f>IFERROR(VLOOKUP("Bi-210",$A$4:$L$32,4)/$B61,0)</f>
        <v>1194.9210384198359</v>
      </c>
      <c r="E61" s="72">
        <f t="shared" si="67"/>
        <v>12.254225587063573</v>
      </c>
      <c r="F61" s="70">
        <f>IFERROR(VLOOKUP("Bi-210",$A$4:$L$32,6)/$B61,0)</f>
        <v>0.45810432555617048</v>
      </c>
      <c r="G61" s="71">
        <f>IFERROR(VLOOKUP("Bi-210",$A$4:$L$32,7)/$B61,0)</f>
        <v>44.212078421533974</v>
      </c>
      <c r="H61" s="72">
        <f t="shared" si="68"/>
        <v>0.45340634672135272</v>
      </c>
      <c r="I61" s="70">
        <f>IFERROR(VLOOKUP("Bi-210",$A$4:$L$32,9)/$B61,0)</f>
        <v>9.9987298526445422E-14</v>
      </c>
      <c r="J61" s="71">
        <f>IFERROR(VLOOKUP("Bi-210",$A$4:$L$32,10)/$B61,0)</f>
        <v>9.6498680256763809E-12</v>
      </c>
      <c r="K61" s="72">
        <f>IFERROR(VLOOKUP("Bi-210",$A$4:$L$32,11)/$B61,0)</f>
        <v>9.8961902811926555E-14</v>
      </c>
      <c r="L61" s="69">
        <f t="shared" si="63"/>
        <v>2720.4380803281133</v>
      </c>
    </row>
    <row r="62" spans="1:12">
      <c r="A62" s="31" t="s">
        <v>202</v>
      </c>
      <c r="B62" s="32">
        <v>1</v>
      </c>
      <c r="C62" s="70">
        <f>IFERROR(VLOOKUP("Po-210",$A$4:$L$32,3)/$B62,0)</f>
        <v>1.3404437491145473E-2</v>
      </c>
      <c r="D62" s="71">
        <f>IFERROR(VLOOKUP("Po-210",$A$4:$L$32,4)/$B62,0)</f>
        <v>5433521.0993223041</v>
      </c>
      <c r="E62" s="72">
        <f>IFERROR(IF(AND(C62&lt;&gt;0,D62&lt;&gt;0),(1/((1/C62)+(1/D62))),IF(AND(C62&lt;&gt;0,D62=0),(1/(1/C62)),IF(AND(C62=0,D62&lt;&gt;0),(1/(1/D62)),0))),0)</f>
        <v>1.3404437458076872E-2</v>
      </c>
      <c r="F62" s="70">
        <f>IFERROR(VLOOKUP("Po-210",$A$4:$L$32,6)/$B62,0)</f>
        <v>4.9596418717238306E-4</v>
      </c>
      <c r="G62" s="71">
        <f>IFERROR(VLOOKUP("Po-210",$A$4:$L$32,7)/$B62,0)</f>
        <v>201040.28067492545</v>
      </c>
      <c r="H62" s="72">
        <f>IFERROR(IF(AND(F62&lt;&gt;0,G62&lt;&gt;0),(1/((1/F62)+(1/G62))),IF(AND(F62&lt;&gt;0,G62=0),(1/(1/F62)),IF(AND(F62=0,G62&lt;&gt;0),(1/(1/G62)),0))),0)</f>
        <v>4.9596418594884486E-4</v>
      </c>
      <c r="I62" s="70">
        <f>IFERROR(VLOOKUP("Po-210",$A$4:$L$32,9)/$B62,0)</f>
        <v>2.9880910576918934E-15</v>
      </c>
      <c r="J62" s="71">
        <f>IFERROR(VLOOKUP("Po-210",$A$4:$L$32,10)/$B62,0)</f>
        <v>1.2112299243731842E-6</v>
      </c>
      <c r="K62" s="72">
        <f>IFERROR(VLOOKUP("Po-210",$A$4:$L$32,11)/$B62,0)</f>
        <v>2.988091050320305E-15</v>
      </c>
      <c r="L62" s="69">
        <f>IF(E62&lt;&gt;".",E62*2.22*100,".")</f>
        <v>2.9757851156930659</v>
      </c>
    </row>
    <row r="63" spans="1:12">
      <c r="A63" s="31" t="s">
        <v>201</v>
      </c>
      <c r="B63" s="34">
        <v>1.9000000000000001E-8</v>
      </c>
      <c r="C63" s="70">
        <f>IFERROR(VLOOKUP("Hg-206",$A$4:$L$32,3)/$B63,0)</f>
        <v>0</v>
      </c>
      <c r="D63" s="71">
        <f>IFERROR(VLOOKUP("Hg-206",$A$4:$L$32,4)/$B63,0)</f>
        <v>14930907171.331837</v>
      </c>
      <c r="E63" s="72">
        <f t="shared" si="67"/>
        <v>14930907171.331837</v>
      </c>
      <c r="F63" s="70">
        <f>IFERROR(VLOOKUP("Hg-206",$A$4:$L$32,6)/$B63,0)</f>
        <v>0</v>
      </c>
      <c r="G63" s="71">
        <f>IFERROR(VLOOKUP("Hg-206",$A$4:$L$32,7)/$B63,0)</f>
        <v>552443565.33927858</v>
      </c>
      <c r="H63" s="72">
        <f t="shared" si="68"/>
        <v>552443565.33927858</v>
      </c>
      <c r="I63" s="70">
        <f>IFERROR(VLOOKUP("Hg-206",$A$4:$L$32,9)/$B63,0)</f>
        <v>0</v>
      </c>
      <c r="J63" s="71">
        <f>IFERROR(VLOOKUP("Hg-206",$A$4:$L$32,10)/$B63,0)</f>
        <v>1.3354071563899884E-7</v>
      </c>
      <c r="K63" s="72">
        <f>IFERROR(VLOOKUP("Hg-206",$A$4:$L$32,11)/$B63,0)</f>
        <v>1.3354071563899884E-7</v>
      </c>
      <c r="L63" s="69">
        <f t="shared" si="63"/>
        <v>3314661392035.668</v>
      </c>
    </row>
    <row r="64" spans="1:12">
      <c r="A64" s="31" t="s">
        <v>203</v>
      </c>
      <c r="B64" s="32">
        <v>1.339E-6</v>
      </c>
      <c r="C64" s="70">
        <f>IFERROR(VLOOKUP("Tl-206",$A$4:$L$32,3)/$B64,0)</f>
        <v>0</v>
      </c>
      <c r="D64" s="71">
        <f>IFERROR(VLOOKUP("Tl-206",$A$4:$L$32,4)/$B64,0)</f>
        <v>331780577.55114555</v>
      </c>
      <c r="E64" s="72">
        <f t="shared" si="67"/>
        <v>331780577.55114555</v>
      </c>
      <c r="F64" s="70">
        <f>IFERROR(VLOOKUP("Tl-206",$A$4:$L$32,6)/$B64,0)</f>
        <v>0</v>
      </c>
      <c r="G64" s="71">
        <f>IFERROR(VLOOKUP("Tl-206",$A$4:$L$32,7)/$B64,0)</f>
        <v>12275881.369392399</v>
      </c>
      <c r="H64" s="72">
        <f t="shared" si="68"/>
        <v>12275881.369392399</v>
      </c>
      <c r="I64" s="70">
        <f>IFERROR(VLOOKUP("Tl-206",$A$4:$L$32,9)/$B64,0)</f>
        <v>0</v>
      </c>
      <c r="J64" s="71">
        <f>IFERROR(VLOOKUP("Tl-206",$A$4:$L$32,10)/$B64,0)</f>
        <v>1.5292206163476135E-9</v>
      </c>
      <c r="K64" s="72">
        <f>IFERROR(VLOOKUP("Tl-206",$A$4:$L$32,11)/$B64,0)</f>
        <v>1.5292206163476135E-9</v>
      </c>
      <c r="L64" s="69">
        <f t="shared" si="63"/>
        <v>73655288216.354324</v>
      </c>
    </row>
    <row r="65" spans="1:12">
      <c r="A65" s="30" t="s">
        <v>31</v>
      </c>
      <c r="B65" s="30" t="s">
        <v>59</v>
      </c>
      <c r="C65" s="76">
        <f>IFERROR(1/SUM(,1/C70,1/C71,1/C74,1/C75,1/C76),0)</f>
        <v>8.5026741482190204E-3</v>
      </c>
      <c r="D65" s="77">
        <f>IFERROR(1/SUM(1/D66,1/D67,1/D68,1/D69,1/D70,1/D71,1/D72,1/D73,1/D74,1/D75,1/D76,1/D77),0)</f>
        <v>28.634322963735812</v>
      </c>
      <c r="E65" s="77">
        <f>IFERROR(1/SUM(1/E66,1/E67,1/E68,1/E69,1/E70,1/E71,1/E72,1/E73,1/E74,1/E75,1/E76,1/E77),0)</f>
        <v>8.5001501141525222E-3</v>
      </c>
      <c r="F65" s="76">
        <f>IFERROR(1/SUM(,1/F70,1/F71,1/F74,1/F75,1/F76),0)</f>
        <v>3.1459894348410413E-4</v>
      </c>
      <c r="G65" s="77">
        <f>IFERROR(1/SUM(1/G66,1/G67,1/G68,1/G69,1/G70,1/G71,1/G72,1/G73,1/G74,1/G75,1/G76,1/G77),0)</f>
        <v>1.0594699496582263</v>
      </c>
      <c r="H65" s="77">
        <f>IFERROR(1/SUM(1/H66,1/H67,1/H68,1/H69,1/H70,1/H71,1/H72,1/H73,1/H74,1/H75,1/H76,1/H77),0)</f>
        <v>3.1450555422364367E-4</v>
      </c>
      <c r="I65" s="73">
        <f>IFERROR(C65*Isospec!$C$26*Isospec!$F$26*SSLcm_m,".")</f>
        <v>5.5364932095649012E-17</v>
      </c>
      <c r="J65" s="74">
        <f>IFERROR(D65*Isospec!$C$26*Isospec!$F$26*SSLcm_m,".")</f>
        <v>1.8645161732137916E-13</v>
      </c>
      <c r="K65" s="75">
        <f>IFERROR(E65*Isospec!$C$26*Isospec!$F$26*SSLcm_m,".")</f>
        <v>5.5348496916285111E-17</v>
      </c>
      <c r="L65" s="68">
        <f t="shared" si="63"/>
        <v>1.8870333253418601</v>
      </c>
    </row>
    <row r="66" spans="1:12">
      <c r="A66" s="31" t="s">
        <v>191</v>
      </c>
      <c r="B66" s="32">
        <v>1</v>
      </c>
      <c r="C66" s="70">
        <f>IFERROR(VLOOKUP("Rn-222",$A$4:$L$32,3)/$B66,0)</f>
        <v>0</v>
      </c>
      <c r="D66" s="71">
        <f>IFERROR(VLOOKUP("Rn-222",$A$4:$L$32,4)/$B66,0)</f>
        <v>130442.23371091123</v>
      </c>
      <c r="E66" s="72">
        <f t="shared" ref="E66:E67" si="69">IFERROR(IF(AND(C66&lt;&gt;0,D66&lt;&gt;0),(1/((1/C66)+(1/D66))),IF(AND(C66&lt;&gt;0,D66=0),(1/(1/C66)),IF(AND(C66=0,D66&lt;&gt;0),(1/(1/D66)),0))),0)</f>
        <v>130442.23371091123</v>
      </c>
      <c r="F66" s="70">
        <f>IFERROR(VLOOKUP("Rn-222",$A$4:$L$32,6)/$B66,0)</f>
        <v>0</v>
      </c>
      <c r="G66" s="71">
        <f>IFERROR(VLOOKUP("Rn-222",$A$4:$L$32,7)/$B66,0)</f>
        <v>4826.3626473037202</v>
      </c>
      <c r="H66" s="72">
        <f t="shared" ref="H66:H67" si="70">IFERROR(IF(AND(F66&lt;&gt;0,G66&lt;&gt;0),(1/((1/F66)+(1/G66))),IF(AND(F66&lt;&gt;0,G66=0),(1/(1/F66)),IF(AND(F66=0,G66&lt;&gt;0),(1/(1/G66)),0))),0)</f>
        <v>4826.3626473037202</v>
      </c>
      <c r="I66" s="70">
        <f>IFERROR(VLOOKUP("Rn-222",$A$4:$L$32,9)/$B66,0)</f>
        <v>0</v>
      </c>
      <c r="J66" s="71">
        <f>IFERROR(VLOOKUP("Rn-222",$A$4:$L$32,10)/$B66,0)</f>
        <v>8.4937106678633471E-10</v>
      </c>
      <c r="K66" s="72">
        <f>IFERROR(VLOOKUP("Rn-222",$A$4:$L$32,11)/$B66,0)</f>
        <v>8.4937106678633471E-10</v>
      </c>
      <c r="L66" s="69">
        <f t="shared" si="63"/>
        <v>28958175.883822296</v>
      </c>
    </row>
    <row r="67" spans="1:12">
      <c r="A67" s="31" t="s">
        <v>192</v>
      </c>
      <c r="B67" s="32">
        <v>1</v>
      </c>
      <c r="C67" s="70">
        <f>IFERROR(VLOOKUP("Po-218",$A$4:$L$32,3)/$B67,0)</f>
        <v>0</v>
      </c>
      <c r="D67" s="71">
        <f>IFERROR(VLOOKUP("Po-218",$A$4:$L$32,4)/$B67,0)</f>
        <v>1808014359.1850209</v>
      </c>
      <c r="E67" s="72">
        <f t="shared" si="69"/>
        <v>1808014359.1850207</v>
      </c>
      <c r="F67" s="70">
        <f>IFERROR(VLOOKUP("Po-218",$A$4:$L$32,6)/$B67,0)</f>
        <v>0</v>
      </c>
      <c r="G67" s="71">
        <f>IFERROR(VLOOKUP("Po-218",$A$4:$L$32,7)/$B67,0)</f>
        <v>66896531.289845839</v>
      </c>
      <c r="H67" s="72">
        <f t="shared" si="70"/>
        <v>66896531.289845832</v>
      </c>
      <c r="I67" s="70">
        <f>IFERROR(VLOOKUP("Po-218",$A$4:$L$32,9)/$B67,0)</f>
        <v>0</v>
      </c>
      <c r="J67" s="71">
        <f>IFERROR(VLOOKUP("Po-218",$A$4:$L$32,10)/$B67,0)</f>
        <v>6.5091268855103811E-9</v>
      </c>
      <c r="K67" s="72">
        <f>IFERROR(VLOOKUP("Po-218",$A$4:$L$32,11)/$B67,0)</f>
        <v>6.5091268855103811E-9</v>
      </c>
      <c r="L67" s="69">
        <f t="shared" si="63"/>
        <v>401379187739.07458</v>
      </c>
    </row>
    <row r="68" spans="1:12">
      <c r="A68" s="31" t="s">
        <v>194</v>
      </c>
      <c r="B68" s="32">
        <v>2.0000000000000001E-4</v>
      </c>
      <c r="C68" s="70">
        <f>IFERROR(VLOOKUP("At-218",$A$4:$L$32,3)/$B68,0)</f>
        <v>0</v>
      </c>
      <c r="D68" s="71">
        <f>IFERROR(VLOOKUP("At-218",$A$4:$L$32,4)/$B68,0)</f>
        <v>480931819.54321563</v>
      </c>
      <c r="E68" s="72">
        <f>IFERROR(IF(AND(C68&lt;&gt;0,D68&lt;&gt;0),(1/((1/C68)+(1/D68))),IF(AND(C68&lt;&gt;0,D68=0),(1/(1/C68)),IF(AND(C68=0,D68&lt;&gt;0),(1/(1/D68)),0))),0)</f>
        <v>480931819.54321563</v>
      </c>
      <c r="F68" s="70">
        <f>IFERROR(VLOOKUP("At-218",$A$4:$L$32,6)/$B68,0)</f>
        <v>0</v>
      </c>
      <c r="G68" s="71">
        <f>IFERROR(VLOOKUP("At-218",$A$4:$L$32,7)/$B68,0)</f>
        <v>17794477.323098995</v>
      </c>
      <c r="H68" s="72">
        <f>IFERROR(IF(AND(F68&lt;&gt;0,G68&lt;&gt;0),(1/((1/F68)+(1/G68))),IF(AND(F68&lt;&gt;0,G68=0),(1/(1/F68)),IF(AND(F68=0,G68&lt;&gt;0),(1/(1/G68)),0))),0)</f>
        <v>17794477.323098995</v>
      </c>
      <c r="I68" s="70">
        <f>IFERROR(VLOOKUP("At-218",$A$4:$L$32,9)/$B68,0)</f>
        <v>0</v>
      </c>
      <c r="J68" s="71">
        <f>IFERROR(VLOOKUP("At-218",$A$4:$L$32,10)/$B68,0)</f>
        <v>1.396312702859492E-11</v>
      </c>
      <c r="K68" s="72">
        <f>IFERROR(VLOOKUP("At-218",$A$4:$L$32,11)/$B68,0)</f>
        <v>1.396312702859492E-11</v>
      </c>
      <c r="L68" s="69">
        <f>IF(E68&lt;&gt;".",E68*2.22*100,".")</f>
        <v>106766863938.59387</v>
      </c>
    </row>
    <row r="69" spans="1:12">
      <c r="A69" s="31" t="s">
        <v>196</v>
      </c>
      <c r="B69" s="32">
        <v>1.9999999999999999E-7</v>
      </c>
      <c r="C69" s="70">
        <f>IFERROR(VLOOKUP("Rn-218",$A$4:$L$32,3)/$B69,0)</f>
        <v>0</v>
      </c>
      <c r="D69" s="71">
        <f>IFERROR(VLOOKUP("Rn-218",$A$4:$L$32,4)/$B69,0)</f>
        <v>335114025831.89905</v>
      </c>
      <c r="E69" s="72">
        <f>IFERROR(IF(AND(C69&lt;&gt;0,D69&lt;&gt;0),(1/((1/C69)+(1/D69))),IF(AND(C69&lt;&gt;0,D69=0),(1/(1/C69)),IF(AND(C69=0,D69&lt;&gt;0),(1/(1/D69)),0))),0)</f>
        <v>335114025831.89905</v>
      </c>
      <c r="F69" s="70">
        <f>IFERROR(VLOOKUP("Rn-218",$A$4:$L$32,6)/$B69,0)</f>
        <v>0</v>
      </c>
      <c r="G69" s="71">
        <f>IFERROR(VLOOKUP("Rn-218",$A$4:$L$32,7)/$B69,0)</f>
        <v>12399218955.780277</v>
      </c>
      <c r="H69" s="72">
        <f>IFERROR(IF(AND(F69&lt;&gt;0,G69&lt;&gt;0),(1/((1/F69)+(1/G69))),IF(AND(F69&lt;&gt;0,G69=0),(1/(1/F69)),IF(AND(F69=0,G69&lt;&gt;0),(1/(1/G69)),0))),0)</f>
        <v>12399218955.780277</v>
      </c>
      <c r="I69" s="70">
        <f>IFERROR(VLOOKUP("Rn-218",$A$4:$L$32,9)/$B69,0)</f>
        <v>0</v>
      </c>
      <c r="J69" s="71">
        <f>IFERROR(VLOOKUP("Rn-218",$A$4:$L$32,10)/$B69,0)</f>
        <v>2.2702232521159774E-10</v>
      </c>
      <c r="K69" s="72">
        <f>IFERROR(VLOOKUP("Rn-218",$A$4:$L$32,11)/$B69,0)</f>
        <v>2.2702232521159774E-10</v>
      </c>
      <c r="L69" s="69">
        <f>IF(E69&lt;&gt;".",E69*2.22*100,".")</f>
        <v>74395313734681.594</v>
      </c>
    </row>
    <row r="70" spans="1:12">
      <c r="A70" s="31" t="s">
        <v>193</v>
      </c>
      <c r="B70" s="32">
        <v>0.99980000000000002</v>
      </c>
      <c r="C70" s="70">
        <f>IFERROR(VLOOKUP("Pb-214",$A$4:$L$32,3)/$B70,0)</f>
        <v>116.7094524249168</v>
      </c>
      <c r="D70" s="71">
        <f>IFERROR(VLOOKUP("Pb-214",$A$4:$L$32,4)/$B70,0)</f>
        <v>163.74864690503992</v>
      </c>
      <c r="E70" s="72">
        <f t="shared" ref="E70:E75" si="71">IFERROR(IF(AND(C70&lt;&gt;0,D70&lt;&gt;0),(1/((1/C70)+(1/D70))),IF(AND(C70&lt;&gt;0,D70=0),(1/(1/C70)),IF(AND(C70=0,D70&lt;&gt;0),(1/(1/D70)),0))),0)</f>
        <v>68.14213945422307</v>
      </c>
      <c r="F70" s="70">
        <f>IFERROR(VLOOKUP("Pb-214",$A$4:$L$32,6)/$B70,0)</f>
        <v>4.3182497397219262</v>
      </c>
      <c r="G70" s="71">
        <f>IFERROR(VLOOKUP("Pb-214",$A$4:$L$32,7)/$B70,0)</f>
        <v>6.0586999354864828</v>
      </c>
      <c r="H70" s="72">
        <f t="shared" ref="H70:H75" si="72">IFERROR(IF(AND(F70&lt;&gt;0,G70&lt;&gt;0),(1/((1/F70)+(1/G70))),IF(AND(F70&lt;&gt;0,G70=0),(1/(1/F70)),IF(AND(F70=0,G70&lt;&gt;0),(1/(1/G70)),0))),0)</f>
        <v>2.5212591598062559</v>
      </c>
      <c r="I70" s="70">
        <f>IFERROR(VLOOKUP("Pb-214",$A$4:$L$32,9)/$B70,0)</f>
        <v>3.56580240550353E-15</v>
      </c>
      <c r="J70" s="71">
        <f>IFERROR(VLOOKUP("Pb-214",$A$4:$L$32,10)/$B70,0)</f>
        <v>5.0029822512240757E-15</v>
      </c>
      <c r="K70" s="72">
        <f>IFERROR(VLOOKUP("Pb-214",$A$4:$L$32,11)/$B70,0)</f>
        <v>2.0819342369748832E-15</v>
      </c>
      <c r="L70" s="69">
        <f t="shared" ref="L70:L75" si="73">IF(E70&lt;&gt;".",E70*2.22*100,".")</f>
        <v>15127.554958837523</v>
      </c>
    </row>
    <row r="71" spans="1:12">
      <c r="A71" s="31" t="s">
        <v>195</v>
      </c>
      <c r="B71" s="32">
        <v>0.99999979999999999</v>
      </c>
      <c r="C71" s="70">
        <f>IFERROR(VLOOKUP("Bi-214",$A$4:$L$32,3)/$B71,0)</f>
        <v>144.81582685857629</v>
      </c>
      <c r="D71" s="71">
        <f>IFERROR(VLOOKUP("Bi-214",$A$4:$L$32,4)/$B71,0)</f>
        <v>35.945283364057836</v>
      </c>
      <c r="E71" s="72">
        <f t="shared" si="71"/>
        <v>28.797377520090375</v>
      </c>
      <c r="F71" s="70">
        <f>IFERROR(VLOOKUP("Bi-214",$A$4:$L$32,6)/$B71,0)</f>
        <v>5.3581855937673284</v>
      </c>
      <c r="G71" s="71">
        <f>IFERROR(VLOOKUP("Bi-214",$A$4:$L$32,7)/$B71,0)</f>
        <v>1.3299754844701412</v>
      </c>
      <c r="H71" s="72">
        <f t="shared" si="72"/>
        <v>1.065502968243345</v>
      </c>
      <c r="I71" s="70">
        <f>IFERROR(VLOOKUP("Bi-214",$A$4:$L$32,9)/$B71,0)</f>
        <v>3.2853795752051293E-15</v>
      </c>
      <c r="J71" s="71">
        <f>IFERROR(VLOOKUP("Bi-214",$A$4:$L$32,10)/$B71,0)</f>
        <v>8.1547647346974073E-16</v>
      </c>
      <c r="K71" s="72">
        <f>IFERROR(VLOOKUP("Bi-214",$A$4:$L$32,11)/$B71,0)</f>
        <v>6.5331475140745811E-16</v>
      </c>
      <c r="L71" s="69">
        <f t="shared" si="73"/>
        <v>6393.0178094600642</v>
      </c>
    </row>
    <row r="72" spans="1:12">
      <c r="A72" s="31" t="s">
        <v>197</v>
      </c>
      <c r="B72" s="32">
        <v>0.99979000004200003</v>
      </c>
      <c r="C72" s="70">
        <f>IFERROR(VLOOKUP("Po-214",$A$4:$L$32,3)/$B72,0)</f>
        <v>0</v>
      </c>
      <c r="D72" s="71">
        <f>IFERROR(VLOOKUP("Po-214",$A$4:$L$32,4)/$B72,0)</f>
        <v>636691.06895735417</v>
      </c>
      <c r="E72" s="72">
        <f t="shared" si="71"/>
        <v>636691.06895735417</v>
      </c>
      <c r="F72" s="70">
        <f>IFERROR(VLOOKUP("Po-214",$A$4:$L$32,6)/$B72,0)</f>
        <v>0</v>
      </c>
      <c r="G72" s="71">
        <f>IFERROR(VLOOKUP("Po-214",$A$4:$L$32,7)/$B72,0)</f>
        <v>23557.569551422126</v>
      </c>
      <c r="H72" s="72">
        <f t="shared" si="72"/>
        <v>23557.569551422126</v>
      </c>
      <c r="I72" s="70">
        <f>IFERROR(VLOOKUP("Po-214",$A$4:$L$32,9)/$B72,0)</f>
        <v>0</v>
      </c>
      <c r="J72" s="71">
        <f>IFERROR(VLOOKUP("Po-214",$A$4:$L$32,10)/$B72,0)</f>
        <v>1.9876115837047171E-18</v>
      </c>
      <c r="K72" s="72">
        <f>IFERROR(VLOOKUP("Po-214",$A$4:$L$32,11)/$B72,0)</f>
        <v>1.9876115837047171E-18</v>
      </c>
      <c r="L72" s="69">
        <f t="shared" si="73"/>
        <v>141345417.30853263</v>
      </c>
    </row>
    <row r="73" spans="1:12">
      <c r="A73" s="31" t="s">
        <v>198</v>
      </c>
      <c r="B73" s="32">
        <v>2.0999995799999999E-4</v>
      </c>
      <c r="C73" s="70">
        <f>IFERROR(VLOOKUP("Tl-210",$A$4:$L$32,3)/$B73,0)</f>
        <v>0</v>
      </c>
      <c r="D73" s="71">
        <f>IFERROR(VLOOKUP("Tl-210",$A$4:$L$32,4)/$B73,0)</f>
        <v>88719.730617178066</v>
      </c>
      <c r="E73" s="72">
        <f t="shared" si="71"/>
        <v>88719.730617178066</v>
      </c>
      <c r="F73" s="70">
        <f>IFERROR(VLOOKUP("Tl-210",$A$4:$L$32,6)/$B73,0)</f>
        <v>0</v>
      </c>
      <c r="G73" s="71">
        <f>IFERROR(VLOOKUP("Tl-210",$A$4:$L$32,7)/$B73,0)</f>
        <v>3282.6300328355919</v>
      </c>
      <c r="H73" s="72">
        <f t="shared" si="72"/>
        <v>3282.6300328355919</v>
      </c>
      <c r="I73" s="70">
        <f>IFERROR(VLOOKUP("Tl-210",$A$4:$L$32,9)/$B73,0)</f>
        <v>0</v>
      </c>
      <c r="J73" s="71">
        <f>IFERROR(VLOOKUP("Tl-210",$A$4:$L$32,10)/$B73,0)</f>
        <v>1.290284666738392E-13</v>
      </c>
      <c r="K73" s="72">
        <f>IFERROR(VLOOKUP("Tl-210",$A$4:$L$32,11)/$B73,0)</f>
        <v>1.290284666738392E-13</v>
      </c>
      <c r="L73" s="69">
        <f t="shared" si="73"/>
        <v>19695780.197013535</v>
      </c>
    </row>
    <row r="74" spans="1:12">
      <c r="A74" s="31" t="s">
        <v>199</v>
      </c>
      <c r="B74" s="32">
        <v>1</v>
      </c>
      <c r="C74" s="70">
        <f>IFERROR(VLOOKUP("Pb-210",$A$4:$L$32,3)/$B74,0)</f>
        <v>2.3303691615353478E-2</v>
      </c>
      <c r="D74" s="71">
        <f>IFERROR(VLOOKUP("Pb-210",$A$4:$L$32,4)/$B74,0)</f>
        <v>7216.5271327351347</v>
      </c>
      <c r="E74" s="72">
        <f t="shared" si="71"/>
        <v>2.3303616363050086E-2</v>
      </c>
      <c r="F74" s="70">
        <f>IFERROR(VLOOKUP("Pb-210",$A$4:$L$32,6)/$B74,0)</f>
        <v>8.6223658976807959E-4</v>
      </c>
      <c r="G74" s="71">
        <f>IFERROR(VLOOKUP("Pb-210",$A$4:$L$32,7)/$B74,0)</f>
        <v>267.01150391120024</v>
      </c>
      <c r="H74" s="72">
        <f t="shared" si="72"/>
        <v>8.6223380543285389E-4</v>
      </c>
      <c r="I74" s="70">
        <f>IFERROR(VLOOKUP("Pb-210",$A$4:$L$32,9)/$B74,0)</f>
        <v>3.0419706887017821E-13</v>
      </c>
      <c r="J74" s="71">
        <f>IFERROR(VLOOKUP("Pb-210",$A$4:$L$32,10)/$B74,0)</f>
        <v>9.4201658579871346E-8</v>
      </c>
      <c r="K74" s="72">
        <f>IFERROR(VLOOKUP("Pb-210",$A$4:$L$32,11)/$B74,0)</f>
        <v>3.0419608655671064E-13</v>
      </c>
      <c r="L74" s="69">
        <f t="shared" si="73"/>
        <v>5.1734028325971195</v>
      </c>
    </row>
    <row r="75" spans="1:12">
      <c r="A75" s="31" t="s">
        <v>200</v>
      </c>
      <c r="B75" s="32">
        <v>1</v>
      </c>
      <c r="C75" s="70">
        <f>IFERROR(VLOOKUP("Bi-210",$A$4:$L$32,3)/$B75,0)</f>
        <v>12.381197988004596</v>
      </c>
      <c r="D75" s="71">
        <f>IFERROR(VLOOKUP("Bi-210",$A$4:$L$32,4)/$B75,0)</f>
        <v>1194.9210384198359</v>
      </c>
      <c r="E75" s="72">
        <f t="shared" si="71"/>
        <v>12.254225587063573</v>
      </c>
      <c r="F75" s="70">
        <f>IFERROR(VLOOKUP("Bi-210",$A$4:$L$32,6)/$B75,0)</f>
        <v>0.45810432555617048</v>
      </c>
      <c r="G75" s="71">
        <f>IFERROR(VLOOKUP("Bi-210",$A$4:$L$32,7)/$B75,0)</f>
        <v>44.212078421533974</v>
      </c>
      <c r="H75" s="72">
        <f t="shared" si="72"/>
        <v>0.45340634672135272</v>
      </c>
      <c r="I75" s="70">
        <f>IFERROR(VLOOKUP("Bi-210",$A$4:$L$32,9)/$B75,0)</f>
        <v>9.9987298526445422E-14</v>
      </c>
      <c r="J75" s="71">
        <f>IFERROR(VLOOKUP("Bi-210",$A$4:$L$32,10)/$B75,0)</f>
        <v>9.6498680256763809E-12</v>
      </c>
      <c r="K75" s="72">
        <f>IFERROR(VLOOKUP("Bi-210",$A$4:$L$32,11)/$B75,0)</f>
        <v>9.8961902811926555E-14</v>
      </c>
      <c r="L75" s="69">
        <f t="shared" si="73"/>
        <v>2720.4380803281133</v>
      </c>
    </row>
    <row r="76" spans="1:12">
      <c r="A76" s="31" t="s">
        <v>202</v>
      </c>
      <c r="B76" s="32">
        <v>1</v>
      </c>
      <c r="C76" s="70">
        <f>IFERROR(VLOOKUP("Po-210",$A$4:$L$32,3)/$B76,0)</f>
        <v>1.3404437491145473E-2</v>
      </c>
      <c r="D76" s="71">
        <f>IFERROR(VLOOKUP("Po-210",$A$4:$L$32,4)/$B76,0)</f>
        <v>5433521.0993223041</v>
      </c>
      <c r="E76" s="72">
        <f>IFERROR(IF(AND(C76&lt;&gt;0,D76&lt;&gt;0),(1/((1/C76)+(1/D76))),IF(AND(C76&lt;&gt;0,D76=0),(1/(1/C76)),IF(AND(C76=0,D76&lt;&gt;0),(1/(1/D76)),0))),0)</f>
        <v>1.3404437458076872E-2</v>
      </c>
      <c r="F76" s="70">
        <f>IFERROR(VLOOKUP("Po-210",$A$4:$L$32,6)/$B76,0)</f>
        <v>4.9596418717238306E-4</v>
      </c>
      <c r="G76" s="71">
        <f>IFERROR(VLOOKUP("Po-210",$A$4:$L$32,7)/$B76,0)</f>
        <v>201040.28067492545</v>
      </c>
      <c r="H76" s="72">
        <f>IFERROR(IF(AND(F76&lt;&gt;0,G76&lt;&gt;0),(1/((1/F76)+(1/G76))),IF(AND(F76&lt;&gt;0,G76=0),(1/(1/F76)),IF(AND(F76=0,G76&lt;&gt;0),(1/(1/G76)),0))),0)</f>
        <v>4.9596418594884486E-4</v>
      </c>
      <c r="I76" s="70">
        <f>IFERROR(VLOOKUP("Po-210",$A$4:$L$32,9)/$B76,0)</f>
        <v>2.9880910576918934E-15</v>
      </c>
      <c r="J76" s="71">
        <f>IFERROR(VLOOKUP("Po-210",$A$4:$L$32,10)/$B76,0)</f>
        <v>1.2112299243731842E-6</v>
      </c>
      <c r="K76" s="72">
        <f>IFERROR(VLOOKUP("Po-210",$A$4:$L$32,11)/$B76,0)</f>
        <v>2.988091050320305E-15</v>
      </c>
      <c r="L76" s="69">
        <f>IF(E76&lt;&gt;".",E76*2.22*100,".")</f>
        <v>2.9757851156930659</v>
      </c>
    </row>
    <row r="77" spans="1:12">
      <c r="A77" s="31" t="s">
        <v>201</v>
      </c>
      <c r="B77" s="34">
        <v>1.9000000000000001E-8</v>
      </c>
      <c r="C77" s="70">
        <f>IFERROR(VLOOKUP("Hg-206",$A$4:$L$32,3)/$B77,0)</f>
        <v>0</v>
      </c>
      <c r="D77" s="71">
        <f>IFERROR(VLOOKUP("Hg-206",$A$4:$L$32,4)/$B77,0)</f>
        <v>14930907171.331837</v>
      </c>
      <c r="E77" s="72">
        <f t="shared" ref="E77:E78" si="74">IFERROR(IF(AND(C77&lt;&gt;0,D77&lt;&gt;0),(1/((1/C77)+(1/D77))),IF(AND(C77&lt;&gt;0,D77=0),(1/(1/C77)),IF(AND(C77=0,D77&lt;&gt;0),(1/(1/D77)),0))),0)</f>
        <v>14930907171.331837</v>
      </c>
      <c r="F77" s="70">
        <f>IFERROR(VLOOKUP("Hg-206",$A$4:$L$32,6)/$B77,0)</f>
        <v>0</v>
      </c>
      <c r="G77" s="71">
        <f>IFERROR(VLOOKUP("Hg-206",$A$4:$L$32,7)/$B77,0)</f>
        <v>552443565.33927858</v>
      </c>
      <c r="H77" s="72">
        <f t="shared" ref="H77:H78" si="75">IFERROR(IF(AND(F77&lt;&gt;0,G77&lt;&gt;0),(1/((1/F77)+(1/G77))),IF(AND(F77&lt;&gt;0,G77=0),(1/(1/F77)),IF(AND(F77=0,G77&lt;&gt;0),(1/(1/G77)),0))),0)</f>
        <v>552443565.33927858</v>
      </c>
      <c r="I77" s="70">
        <f>IFERROR(VLOOKUP("Hg-206",$A$4:$L$32,9)/$B77,0)</f>
        <v>0</v>
      </c>
      <c r="J77" s="71">
        <f>IFERROR(VLOOKUP("Hg-206",$A$4:$L$32,10)/$B77,0)</f>
        <v>1.3354071563899884E-7</v>
      </c>
      <c r="K77" s="72">
        <f>IFERROR(VLOOKUP("Hg-206",$A$4:$L$32,11)/$B77,0)</f>
        <v>1.3354071563899884E-7</v>
      </c>
      <c r="L77" s="69">
        <f t="shared" ref="L77:L78" si="76">IF(E77&lt;&gt;".",E77*2.22*100,".")</f>
        <v>3314661392035.668</v>
      </c>
    </row>
    <row r="78" spans="1:12">
      <c r="A78" s="31" t="s">
        <v>203</v>
      </c>
      <c r="B78" s="32">
        <v>1.339E-6</v>
      </c>
      <c r="C78" s="70">
        <f>IFERROR(VLOOKUP("Tl-206",$A$4:$L$32,3)/$B78,0)</f>
        <v>0</v>
      </c>
      <c r="D78" s="71">
        <f>IFERROR(VLOOKUP("Tl-206",$A$4:$L$32,4)/$B78,0)</f>
        <v>331780577.55114555</v>
      </c>
      <c r="E78" s="72">
        <f t="shared" si="74"/>
        <v>331780577.55114555</v>
      </c>
      <c r="F78" s="70">
        <f>IFERROR(VLOOKUP("Tl-206",$A$4:$L$32,6)/$B78,0)</f>
        <v>0</v>
      </c>
      <c r="G78" s="71">
        <f>IFERROR(VLOOKUP("Tl-206",$A$4:$L$32,7)/$B78,0)</f>
        <v>12275881.369392399</v>
      </c>
      <c r="H78" s="72">
        <f t="shared" si="75"/>
        <v>12275881.369392399</v>
      </c>
      <c r="I78" s="70">
        <f>IFERROR(VLOOKUP("Tl-206",$A$4:$L$32,9)/$B78,0)</f>
        <v>0</v>
      </c>
      <c r="J78" s="71">
        <f>IFERROR(VLOOKUP("Tl-206",$A$4:$L$32,10)/$B78,0)</f>
        <v>1.5292206163476135E-9</v>
      </c>
      <c r="K78" s="72">
        <f>IFERROR(VLOOKUP("Tl-206",$A$4:$L$32,11)/$B78,0)</f>
        <v>1.5292206163476135E-9</v>
      </c>
      <c r="L78" s="69">
        <f t="shared" si="76"/>
        <v>73655288216.354324</v>
      </c>
    </row>
  </sheetData>
  <sheetProtection algorithmName="SHA-512" hashValue="CTIfCPorVUBhw8vAKoduYN8vYXYpR0af8j1Hr6QWUgPPtTZNUVCfA4nRUgbYGppIjat0pdI1YpAOHj/iFR5d7w==" saltValue="b4YqyYnUV220JwVcxzJlYg==" spinCount="100000" sheet="1" formatCells="0" formatColumns="0" formatRows="0" insertColumns="0" insertRows="0" autoFilter="0"/>
  <autoFilter ref="A2:K78" xr:uid="{00000000-0009-0000-0000-00000E000000}"/>
  <mergeCells count="3">
    <mergeCell ref="C1:E1"/>
    <mergeCell ref="F1:H1"/>
    <mergeCell ref="I1:K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499984740745262"/>
  </sheetPr>
  <dimension ref="A1:K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3" width="12.140625" style="22" bestFit="1" customWidth="1"/>
    <col min="4" max="4" width="12.7109375" style="22" bestFit="1" customWidth="1"/>
    <col min="5" max="5" width="11.85546875" style="22" bestFit="1" customWidth="1"/>
    <col min="6" max="6" width="12.140625" style="22" bestFit="1" customWidth="1"/>
    <col min="7" max="7" width="12.7109375" style="22" bestFit="1" customWidth="1"/>
    <col min="8" max="8" width="11.85546875" style="22" bestFit="1" customWidth="1"/>
    <col min="9" max="9" width="12.140625" style="22" bestFit="1" customWidth="1"/>
    <col min="10" max="10" width="12.7109375" style="22" bestFit="1" customWidth="1"/>
    <col min="11" max="11" width="11.85546875" style="22" bestFit="1" customWidth="1"/>
  </cols>
  <sheetData>
    <row r="1" spans="1:11" ht="13.5" thickBot="1">
      <c r="C1" s="146" t="s">
        <v>61</v>
      </c>
      <c r="D1" s="147"/>
      <c r="E1" s="147"/>
      <c r="F1" s="146" t="s">
        <v>138</v>
      </c>
      <c r="G1" s="147"/>
      <c r="H1" s="147"/>
      <c r="I1" s="146" t="s">
        <v>139</v>
      </c>
      <c r="J1" s="147"/>
      <c r="K1" s="147"/>
    </row>
    <row r="2" spans="1:11">
      <c r="A2" s="11" t="s">
        <v>0</v>
      </c>
      <c r="B2" s="11" t="s">
        <v>43</v>
      </c>
      <c r="C2" s="35" t="s">
        <v>240</v>
      </c>
      <c r="D2" s="36" t="s">
        <v>241</v>
      </c>
      <c r="E2" s="37" t="s">
        <v>242</v>
      </c>
      <c r="F2" s="36" t="s">
        <v>240</v>
      </c>
      <c r="G2" s="36" t="s">
        <v>241</v>
      </c>
      <c r="H2" s="38" t="s">
        <v>242</v>
      </c>
      <c r="I2" s="36" t="s">
        <v>240</v>
      </c>
      <c r="J2" s="36" t="s">
        <v>241</v>
      </c>
      <c r="K2" s="37" t="s">
        <v>242</v>
      </c>
    </row>
    <row r="3" spans="1:11" ht="13.5" thickBot="1">
      <c r="B3" s="26" t="s">
        <v>44</v>
      </c>
      <c r="C3" s="27" t="s">
        <v>143</v>
      </c>
      <c r="D3" s="28" t="s">
        <v>143</v>
      </c>
      <c r="E3" s="29" t="s">
        <v>143</v>
      </c>
      <c r="F3" s="28" t="s">
        <v>144</v>
      </c>
      <c r="G3" s="28" t="s">
        <v>144</v>
      </c>
      <c r="H3" s="39" t="s">
        <v>144</v>
      </c>
      <c r="I3" s="28" t="s">
        <v>145</v>
      </c>
      <c r="J3" s="28" t="s">
        <v>145</v>
      </c>
      <c r="K3" s="29" t="s">
        <v>145</v>
      </c>
    </row>
    <row r="4" spans="1:11">
      <c r="A4" s="87" t="s">
        <v>23</v>
      </c>
      <c r="B4" s="12" t="s">
        <v>59</v>
      </c>
      <c r="C4" s="2">
        <f>IFERROR((s_DL)/(Doses!H2*s_IRAiw*s_Fin*s_Fi*s_ETiw*(1/24)*s_EFiw),".")</f>
        <v>0.10705893058834236</v>
      </c>
      <c r="D4" s="3">
        <f>IFERROR((s_DL)/(Doses!J2*s_GSFa*s_Fin*s_Fi*s_ETiw*(1/24)*s_EFiw*(1/365)),".")</f>
        <v>1205006.24777912</v>
      </c>
      <c r="E4" s="5">
        <f t="shared" ref="E4" si="0">IFERROR(IF(AND(ISNUMBER(C4),ISNUMBER(D4)),(1/((1/C4)+(1/D4))),IF(AND(ISNUMBER(C4),NOT(ISNUMBER(D4))),(1/(1/C4)),IF(AND(NOT(ISNUMBER(C4)),ISNUMBER(D4)),(1/(1/D4)),"."))),".")</f>
        <v>0.10705892107667915</v>
      </c>
      <c r="F4" s="3">
        <f t="shared" ref="F4" si="1">IFERROR(C4/_1_bq,".")</f>
        <v>3.9611804317686711E-3</v>
      </c>
      <c r="G4" s="3">
        <f t="shared" ref="G4" si="2">IFERROR(D4/_1_bq,".")</f>
        <v>44585.231167827485</v>
      </c>
      <c r="H4" s="4">
        <f t="shared" ref="H4" si="3">IFERROR(E4/_1_bq,".")</f>
        <v>3.9611800798371325E-3</v>
      </c>
      <c r="I4" s="3">
        <f>IFERROR(C4*Isospec!C3*Isospec!F3*s_SSLcm_m,".")</f>
        <v>1.8478664731686756E-15</v>
      </c>
      <c r="J4" s="3">
        <f>IFERROR(D4*Isospec!C3*Isospec!F3*s_SSLcm_m,".")</f>
        <v>2.0798737975365935E-8</v>
      </c>
      <c r="K4" s="5">
        <f>IFERROR(E4*Isospec!C3*Isospec!F3*s_SSLcm_m,".")</f>
        <v>1.8478663089947629E-15</v>
      </c>
    </row>
    <row r="5" spans="1:11">
      <c r="A5" s="88" t="s">
        <v>14</v>
      </c>
      <c r="B5" s="12" t="s">
        <v>44</v>
      </c>
      <c r="C5" s="2">
        <f>IFERROR((s_DL)/(Doses!H3*s_IRAiw*s_Fin*s_Fi*s_ETiw*(1/24)*s_EFiw),".")</f>
        <v>1.0018358642211855E-2</v>
      </c>
      <c r="D5" s="3">
        <f>IFERROR((s_DL)/(Doses!J3*s_GSFa*s_Fin*s_Fi*s_ETiw*(1/24)*s_EFiw*(1/365)),".")</f>
        <v>1014930.8575044376</v>
      </c>
      <c r="E5" s="5">
        <f>IFERROR(IF(AND(ISNUMBER(C5),ISNUMBER(D5)),(1/((1/C5)+(1/D5))),IF(AND(ISNUMBER(C5),NOT(ISNUMBER(D5))),(1/(1/C5)),IF(AND(NOT(ISNUMBER(C5)),ISNUMBER(D5)),(1/(1/D5)),"."))),".")</f>
        <v>1.0018358543320872E-2</v>
      </c>
      <c r="F5" s="3">
        <f>IFERROR(C5/_1_bq,".")</f>
        <v>3.7067926976183901E-4</v>
      </c>
      <c r="G5" s="3">
        <f>IFERROR(D5/_1_bq,".")</f>
        <v>37552.441727664227</v>
      </c>
      <c r="H5" s="4">
        <f>IFERROR(E5/_1_bq,".")</f>
        <v>3.7067926610287265E-4</v>
      </c>
      <c r="I5" s="3">
        <f>IFERROR(C5*Isospec!C4*Isospec!F4*s_SSLcm_m,".")</f>
        <v>2.9218398715646421E-12</v>
      </c>
      <c r="J5" s="3">
        <f>IFERROR(D5*Isospec!C4*Isospec!F4*s_SSLcm_m,".")</f>
        <v>2.9600312309073447E-4</v>
      </c>
      <c r="K5" s="5">
        <f>IFERROR(E5*Isospec!C4*Isospec!F4*s_SSLcm_m,".")</f>
        <v>2.9218398427232303E-12</v>
      </c>
    </row>
    <row r="6" spans="1:11">
      <c r="A6" s="87" t="s">
        <v>15</v>
      </c>
      <c r="B6" s="12" t="s">
        <v>59</v>
      </c>
      <c r="C6" s="2" t="str">
        <f>IFERROR((s_DL)/(Doses!H4*s_IRAiw*s_Fin*s_Fi*s_ETiw*(1/24)*s_EFiw),".")</f>
        <v>.</v>
      </c>
      <c r="D6" s="3">
        <f>IFERROR((s_DL)/(Doses!J4*s_GSFa*s_Fin*s_Fi*s_ETiw*(1/24)*s_EFiw*(1/365)),".")</f>
        <v>64342786.438017152</v>
      </c>
      <c r="E6" s="5">
        <f t="shared" ref="E6:E7" si="4">IFERROR(IF(AND(ISNUMBER(C6),ISNUMBER(D6)),(1/((1/C6)+(1/D6))),IF(AND(ISNUMBER(C6),NOT(ISNUMBER(D6))),(1/(1/C6)),IF(AND(NOT(ISNUMBER(C6)),ISNUMBER(D6)),(1/(1/D6)),"."))),".")</f>
        <v>64342786.438017145</v>
      </c>
      <c r="F6" s="3" t="str">
        <f t="shared" ref="F6:F7" si="5">IFERROR(C6/_1_bq,".")</f>
        <v>.</v>
      </c>
      <c r="G6" s="3">
        <f t="shared" ref="G6:G7" si="6">IFERROR(D6/_1_bq,".")</f>
        <v>2380683.098206637</v>
      </c>
      <c r="H6" s="4">
        <f t="shared" ref="H6:H7" si="7">IFERROR(E6/_1_bq,".")</f>
        <v>2380683.098206637</v>
      </c>
      <c r="I6" s="3" t="str">
        <f>IFERROR(C6*Isospec!C5*Isospec!F5*s_SSLcm_m,".")</f>
        <v>.</v>
      </c>
      <c r="J6" s="3">
        <f>IFERROR(D6*Isospec!C5*Isospec!F5*s_SSLcm_m,".")</f>
        <v>4.0041795674263742E-14</v>
      </c>
      <c r="K6" s="5">
        <f>IFERROR(E6*Isospec!C5*Isospec!F5*s_SSLcm_m,".")</f>
        <v>4.0041795674263742E-14</v>
      </c>
    </row>
    <row r="7" spans="1:11">
      <c r="A7" s="87" t="s">
        <v>16</v>
      </c>
      <c r="B7" s="89" t="s">
        <v>59</v>
      </c>
      <c r="C7" s="2" t="str">
        <f>IFERROR((s_DL)/(Doses!H5*s_IRAiw*s_Fin*s_Fi*s_ETiw*(1/24)*s_EFiw),".")</f>
        <v>.</v>
      </c>
      <c r="D7" s="3">
        <f>IFERROR((s_DL)/(Doses!J5*s_GSFa*s_Fin*s_Fi*s_ETiw*(1/24)*s_EFiw*(1/365)),".")</f>
        <v>695952588.00304282</v>
      </c>
      <c r="E7" s="5">
        <f t="shared" si="4"/>
        <v>695952588.00304282</v>
      </c>
      <c r="F7" s="3" t="str">
        <f t="shared" si="5"/>
        <v>.</v>
      </c>
      <c r="G7" s="3">
        <f t="shared" si="6"/>
        <v>25750245.756112609</v>
      </c>
      <c r="H7" s="4">
        <f t="shared" si="7"/>
        <v>25750245.756112609</v>
      </c>
      <c r="I7" s="3" t="str">
        <f>IFERROR(C7*Isospec!C6*Isospec!F6*s_SSLcm_m,".")</f>
        <v>.</v>
      </c>
      <c r="J7" s="3">
        <f>IFERROR(D7*Isospec!C6*Isospec!F6*s_SSLcm_m,".")</f>
        <v>2.0205929400545015E-11</v>
      </c>
      <c r="K7" s="5">
        <f>IFERROR(E7*Isospec!C6*Isospec!F6*s_SSLcm_m,".")</f>
        <v>2.0205929400545015E-11</v>
      </c>
    </row>
    <row r="8" spans="1:11">
      <c r="A8" s="87" t="s">
        <v>18</v>
      </c>
      <c r="B8" s="12" t="s">
        <v>59</v>
      </c>
      <c r="C8" s="2" t="str">
        <f>IFERROR((s_DL)/(Doses!H6*s_IRAiw*s_Fin*s_Fi*s_ETiw*(1/24)*s_EFiw),".")</f>
        <v>.</v>
      </c>
      <c r="D8" s="3">
        <f>IFERROR((s_DL)/(Doses!J6*s_GSFa*s_Fin*s_Fi*s_ETiw*(1/24)*s_EFiw*(1/365)),".")</f>
        <v>25354.406551783712</v>
      </c>
      <c r="E8" s="5">
        <f t="shared" ref="E8:E11" si="8">IFERROR(IF(AND(ISNUMBER(C8),ISNUMBER(D8)),(1/((1/C8)+(1/D8))),IF(AND(ISNUMBER(C8),NOT(ISNUMBER(D8))),(1/(1/C8)),IF(AND(NOT(ISNUMBER(C8)),ISNUMBER(D8)),(1/(1/D8)),"."))),".")</f>
        <v>25354.406551783712</v>
      </c>
      <c r="F8" s="3" t="str">
        <f t="shared" ref="F8:F11" si="9">IFERROR(C8/_1_bq,".")</f>
        <v>.</v>
      </c>
      <c r="G8" s="3">
        <f t="shared" ref="G8:G11" si="10">IFERROR(D8/_1_bq,".")</f>
        <v>938.11304241599828</v>
      </c>
      <c r="H8" s="4">
        <f t="shared" ref="H8:H11" si="11">IFERROR(E8/_1_bq,".")</f>
        <v>938.11304241599828</v>
      </c>
      <c r="I8" s="3" t="str">
        <f>IFERROR(C8*Isospec!C7*Isospec!F7*s_SSLcm_m,".")</f>
        <v>.</v>
      </c>
      <c r="J8" s="3">
        <f>IFERROR(D8*Isospec!C7*Isospec!F7*s_SSLcm_m,".")</f>
        <v>4.7223411913109121E-14</v>
      </c>
      <c r="K8" s="5">
        <f>IFERROR(E8*Isospec!C7*Isospec!F7*s_SSLcm_m,".")</f>
        <v>4.7223411913109121E-14</v>
      </c>
    </row>
    <row r="9" spans="1:11">
      <c r="A9" s="87" t="s">
        <v>19</v>
      </c>
      <c r="B9" s="90" t="s">
        <v>59</v>
      </c>
      <c r="C9" s="2">
        <f>IFERROR((s_DL)/(Doses!H7*s_IRAiw*s_Fin*s_Fi*s_ETiw*(1/24)*s_EFiw),".")</f>
        <v>6.7315135808286497</v>
      </c>
      <c r="D9" s="3">
        <f>IFERROR((s_DL)/(Doses!J7*s_GSFa*s_Fin*s_Fi*s_ETiw*(1/24)*s_EFiw*(1/365)),".")</f>
        <v>2643540.8381510922</v>
      </c>
      <c r="E9" s="5">
        <f t="shared" si="8"/>
        <v>6.7314964397430836</v>
      </c>
      <c r="F9" s="3">
        <f t="shared" si="9"/>
        <v>0.2490660024906603</v>
      </c>
      <c r="G9" s="3">
        <f t="shared" si="10"/>
        <v>97811.011011590512</v>
      </c>
      <c r="H9" s="4">
        <f t="shared" si="11"/>
        <v>0.24906536827049436</v>
      </c>
      <c r="I9" s="3">
        <f>IFERROR(C9*Isospec!C8*Isospec!F8*s_SSLcm_m,".")</f>
        <v>5.4361933198486056E-14</v>
      </c>
      <c r="J9" s="3">
        <f>IFERROR(D9*Isospec!C8*Isospec!F8*s_SSLcm_m,".")</f>
        <v>2.1348540521454175E-8</v>
      </c>
      <c r="K9" s="5">
        <f>IFERROR(E9*Isospec!C8*Isospec!F8*s_SSLcm_m,".")</f>
        <v>5.436179477158737E-14</v>
      </c>
    </row>
    <row r="10" spans="1:11">
      <c r="A10" s="87" t="s">
        <v>20</v>
      </c>
      <c r="B10" s="12" t="s">
        <v>59</v>
      </c>
      <c r="C10" s="2">
        <f>IFERROR((s_DL)/(Doses!H8*s_IRAiw*s_Fin*s_Fi*s_ETiw*(1/24)*s_EFiw),".")</f>
        <v>27.684534726788254</v>
      </c>
      <c r="D10" s="3">
        <f>IFERROR((s_DL)/(Doses!J8*s_GSFa*s_Fin*s_Fi*s_ETiw*(1/24)*s_EFiw*(1/365)),".")</f>
        <v>114820.46064696665</v>
      </c>
      <c r="E10" s="5">
        <f t="shared" si="8"/>
        <v>27.677861275842865</v>
      </c>
      <c r="F10" s="3">
        <f t="shared" si="9"/>
        <v>1.0243277848911665</v>
      </c>
      <c r="G10" s="3">
        <f t="shared" si="10"/>
        <v>4248.35704393777</v>
      </c>
      <c r="H10" s="4">
        <f t="shared" si="11"/>
        <v>1.024080867206187</v>
      </c>
      <c r="I10" s="3">
        <f>IFERROR(C10*Isospec!C9*Isospec!F9*s_SSLcm_m,".")</f>
        <v>1.4321519526999041E-15</v>
      </c>
      <c r="J10" s="3">
        <f>IFERROR(D10*Isospec!C9*Isospec!F9*s_SSLcm_m,".")</f>
        <v>5.9397908813811182E-12</v>
      </c>
      <c r="K10" s="5">
        <f>IFERROR(E10*Isospec!C9*Isospec!F9*s_SSLcm_m,".")</f>
        <v>1.4318067276167663E-15</v>
      </c>
    </row>
    <row r="11" spans="1:11">
      <c r="A11" s="87" t="s">
        <v>21</v>
      </c>
      <c r="B11" s="90" t="s">
        <v>59</v>
      </c>
      <c r="C11" s="2">
        <f>IFERROR((s_DL)/(Doses!H9*s_IRAiw*s_Fin*s_Fi*s_ETiw*(1/24)*s_EFiw),".")</f>
        <v>99.354197714853456</v>
      </c>
      <c r="D11" s="3">
        <f>IFERROR((s_DL)/(Doses!J9*s_GSFa*s_Fin*s_Fi*s_ETiw*(1/24)*s_EFiw*(1/365)),".")</f>
        <v>9592.5954464554416</v>
      </c>
      <c r="E11" s="5">
        <f t="shared" si="8"/>
        <v>98.335697107032033</v>
      </c>
      <c r="F11" s="3">
        <f t="shared" si="9"/>
        <v>3.6761053154495817</v>
      </c>
      <c r="G11" s="3">
        <f t="shared" si="10"/>
        <v>354.92603151885169</v>
      </c>
      <c r="H11" s="4">
        <f t="shared" si="11"/>
        <v>3.6384207929601891</v>
      </c>
      <c r="I11" s="3">
        <f>IFERROR(C11*Isospec!C10*Isospec!F10*s_SSLcm_m,".")</f>
        <v>2.2540095165291712E-15</v>
      </c>
      <c r="J11" s="3">
        <f>IFERROR(D11*Isospec!C10*Isospec!F10*s_SSLcm_m,".")</f>
        <v>2.1762343133784369E-13</v>
      </c>
      <c r="K11" s="5">
        <f>IFERROR(E11*Isospec!C10*Isospec!F10*s_SSLcm_m,".")</f>
        <v>2.2309031947488987E-15</v>
      </c>
    </row>
    <row r="12" spans="1:11">
      <c r="A12" s="88" t="s">
        <v>17</v>
      </c>
      <c r="B12" s="12" t="s">
        <v>44</v>
      </c>
      <c r="C12" s="2">
        <f>IFERROR((s_DL)/(Doses!H10*s_IRAiw*s_Fin*s_Fi*s_ETiw*(1/24)*s_EFiw),".")</f>
        <v>23.568368892109902</v>
      </c>
      <c r="D12" s="3">
        <f>IFERROR((s_DL)/(Doses!J10*s_GSFa*s_Fin*s_Fi*s_ETiw*(1/24)*s_EFiw*(1/365)),".")</f>
        <v>7255675.9174785316</v>
      </c>
      <c r="E12" s="5">
        <f t="shared" ref="E12" si="12">IFERROR(IF(AND(ISNUMBER(C12),ISNUMBER(D12)),(1/((1/C12)+(1/D12))),IF(AND(ISNUMBER(C12),NOT(ISNUMBER(D12))),(1/(1/C12)),IF(AND(NOT(ISNUMBER(C12)),ISNUMBER(D12)),(1/(1/D12)),"."))),".")</f>
        <v>23.568292336015851</v>
      </c>
      <c r="F12" s="3">
        <f t="shared" ref="F12" si="13">IFERROR(C12/_1_bq,".")</f>
        <v>0.87202964900806723</v>
      </c>
      <c r="G12" s="3">
        <f t="shared" ref="G12" si="14">IFERROR(D12/_1_bq,".")</f>
        <v>268460.00894670596</v>
      </c>
      <c r="H12" s="4">
        <f t="shared" ref="H12" si="15">IFERROR(E12/_1_bq,".")</f>
        <v>0.87202681643258739</v>
      </c>
      <c r="I12" s="3">
        <f>IFERROR(C12*Isospec!C11*Isospec!F11*s_SSLcm_m,".")</f>
        <v>2.727355112863027E-10</v>
      </c>
      <c r="J12" s="3">
        <f>IFERROR(D12*Isospec!C11*Isospec!F11*s_SSLcm_m,".")</f>
        <v>8.3963404092155918E-5</v>
      </c>
      <c r="K12" s="5">
        <f>IFERROR(E12*Isospec!C11*Isospec!F11*s_SSLcm_m,".")</f>
        <v>2.7273462537156041E-10</v>
      </c>
    </row>
    <row r="13" spans="1:11">
      <c r="A13" s="87" t="s">
        <v>24</v>
      </c>
      <c r="B13" s="12" t="s">
        <v>59</v>
      </c>
      <c r="C13" s="2" t="str">
        <f>IFERROR((s_DL)/(Doses!H11*s_IRAiw*s_Fin*s_Fi*s_ETiw*(1/24)*s_EFiw),".")</f>
        <v>.</v>
      </c>
      <c r="D13" s="3">
        <f>IFERROR((s_DL)/(Doses!J11*s_GSFa*s_Fin*s_Fi*s_ETiw*(1/24)*s_EFiw*(1/365)),".")</f>
        <v>545626.82899438555</v>
      </c>
      <c r="E13" s="5">
        <f t="shared" ref="E13" si="16">IFERROR(IF(AND(ISNUMBER(C13),ISNUMBER(D13)),(1/((1/C13)+(1/D13))),IF(AND(ISNUMBER(C13),NOT(ISNUMBER(D13))),(1/(1/C13)),IF(AND(NOT(ISNUMBER(C13)),ISNUMBER(D13)),(1/(1/D13)),"."))),".")</f>
        <v>545626.82899438555</v>
      </c>
      <c r="F13" s="3" t="str">
        <f t="shared" ref="F13" si="17">IFERROR(C13/_1_bq,".")</f>
        <v>.</v>
      </c>
      <c r="G13" s="3">
        <f t="shared" ref="G13" si="18">IFERROR(D13/_1_bq,".")</f>
        <v>20188.192672792287</v>
      </c>
      <c r="H13" s="4">
        <f t="shared" ref="H13" si="19">IFERROR(E13/_1_bq,".")</f>
        <v>20188.192672792287</v>
      </c>
      <c r="I13" s="3" t="str">
        <f>IFERROR(C13*Isospec!C12*Isospec!F12*s_SSLcm_m,".")</f>
        <v>.</v>
      </c>
      <c r="J13" s="3">
        <f>IFERROR(D13*Isospec!C12*Isospec!F12*s_SSLcm_m,".")</f>
        <v>3.1476522464430336E-12</v>
      </c>
      <c r="K13" s="5">
        <f>IFERROR(E13*Isospec!C12*Isospec!F12*s_SSLcm_m,".")</f>
        <v>3.1476522464430336E-12</v>
      </c>
    </row>
    <row r="14" spans="1:11">
      <c r="A14" s="87" t="s">
        <v>22</v>
      </c>
      <c r="B14" s="89" t="s">
        <v>59</v>
      </c>
      <c r="C14" s="2" t="str">
        <f>IFERROR((s_DL)/(Doses!H12*s_IRAiw*s_Fin*s_Fi*s_ETiw*(1/24)*s_EFiw),".")</f>
        <v>.</v>
      </c>
      <c r="D14" s="3">
        <f>IFERROR((s_DL)/(Doses!J12*s_GSFa*s_Fin*s_Fi*s_ETiw*(1/24)*s_EFiw*(1/365)),".")</f>
        <v>122667.90220197516</v>
      </c>
      <c r="E14" s="5">
        <f t="shared" ref="E14" si="20">IFERROR(IF(AND(ISNUMBER(C14),ISNUMBER(D14)),(1/((1/C14)+(1/D14))),IF(AND(ISNUMBER(C14),NOT(ISNUMBER(D14))),(1/(1/C14)),IF(AND(NOT(ISNUMBER(C14)),ISNUMBER(D14)),(1/(1/D14)),"."))),".")</f>
        <v>122667.90220197516</v>
      </c>
      <c r="F14" s="3" t="str">
        <f t="shared" ref="F14" si="21">IFERROR(C14/_1_bq,".")</f>
        <v>.</v>
      </c>
      <c r="G14" s="3">
        <f t="shared" ref="G14" si="22">IFERROR(D14/_1_bq,".")</f>
        <v>4538.7123814730858</v>
      </c>
      <c r="H14" s="4">
        <f t="shared" ref="H14" si="23">IFERROR(E14/_1_bq,".")</f>
        <v>4538.7123814730858</v>
      </c>
      <c r="I14" s="3" t="str">
        <f>IFERROR(C14*Isospec!C13*Isospec!F13*s_SSLcm_m,".")</f>
        <v>.</v>
      </c>
      <c r="J14" s="3">
        <f>IFERROR(D14*Isospec!C13*Isospec!F13*s_SSLcm_m,".")</f>
        <v>1.0971308881645993E-12</v>
      </c>
      <c r="K14" s="5">
        <f>IFERROR(E14*Isospec!C13*Isospec!F13*s_SSLcm_m,".")</f>
        <v>1.0971308881645993E-12</v>
      </c>
    </row>
    <row r="15" spans="1:11">
      <c r="A15" s="87" t="s">
        <v>28</v>
      </c>
      <c r="B15" s="12" t="s">
        <v>59</v>
      </c>
      <c r="C15" s="2">
        <f>IFERROR((s_DL)/(Doses!H13*s_IRAiw*s_Fin*s_Fi*s_ETiw*(1/24)*s_EFiw),".")</f>
        <v>7.8000078000078008E-2</v>
      </c>
      <c r="D15" s="3">
        <f>IFERROR((s_DL)/(Doses!J13*s_GSFa*s_Fin*s_Fi*s_ETiw*(1/24)*s_EFiw*(1/365)),".")</f>
        <v>793062.25144532777</v>
      </c>
      <c r="E15" s="5">
        <f t="shared" ref="E15:E16" si="24">IFERROR(IF(AND(ISNUMBER(C15),ISNUMBER(D15)),(1/((1/C15)+(1/D15))),IF(AND(ISNUMBER(C15),NOT(ISNUMBER(D15))),(1/(1/C15)),IF(AND(NOT(ISNUMBER(C15)),ISNUMBER(D15)),(1/(1/D15)),"."))),".")</f>
        <v>7.8000070328534496E-2</v>
      </c>
      <c r="F15" s="3">
        <f t="shared" ref="F15:F16" si="25">IFERROR(C15/_1_bq,".")</f>
        <v>2.886002886002889E-3</v>
      </c>
      <c r="G15" s="3">
        <f t="shared" ref="G15:G16" si="26">IFERROR(D15/_1_bq,".")</f>
        <v>29343.303303477158</v>
      </c>
      <c r="H15" s="4">
        <f t="shared" ref="H15:H16" si="27">IFERROR(E15/_1_bq,".")</f>
        <v>2.8860026021557792E-3</v>
      </c>
      <c r="I15" s="3">
        <f>IFERROR(C15*Isospec!C14*Isospec!F14*s_SSLcm_m,".")</f>
        <v>1.1097526617526619E-7</v>
      </c>
      <c r="J15" s="3">
        <f>IFERROR(D15*Isospec!C14*Isospec!F14*s_SSLcm_m,".")</f>
        <v>1.1283359799667523</v>
      </c>
      <c r="K15" s="5">
        <f>IFERROR(E15*Isospec!C14*Isospec!F14*s_SSLcm_m,".")</f>
        <v>1.1097525526051323E-7</v>
      </c>
    </row>
    <row r="16" spans="1:11">
      <c r="A16" s="87" t="s">
        <v>29</v>
      </c>
      <c r="B16" s="12" t="s">
        <v>59</v>
      </c>
      <c r="C16" s="2">
        <f>IFERROR((s_DL)/(Doses!H14*s_IRAiw*s_Fin*s_Fi*s_ETiw*(1/24)*s_EFiw),".")</f>
        <v>215.52653131600502</v>
      </c>
      <c r="D16" s="3">
        <f>IFERROR((s_DL)/(Doses!J14*s_GSFa*s_Fin*s_Fi*s_ETiw*(1/24)*s_EFiw*(1/365)),".")</f>
        <v>73574.275754366972</v>
      </c>
      <c r="E16" s="5">
        <f t="shared" si="24"/>
        <v>214.89701769403774</v>
      </c>
      <c r="F16" s="3">
        <f t="shared" si="25"/>
        <v>7.9744816586921941</v>
      </c>
      <c r="G16" s="3">
        <f t="shared" si="26"/>
        <v>2722.2482029115808</v>
      </c>
      <c r="H16" s="4">
        <f t="shared" si="27"/>
        <v>7.9511896546794043</v>
      </c>
      <c r="I16" s="3">
        <f>IFERROR(C16*Isospec!C15*Isospec!F15*s_SSLcm_m,".")</f>
        <v>1.0388538712403181E-11</v>
      </c>
      <c r="J16" s="3">
        <f>IFERROR(D16*Isospec!C15*Isospec!F15*s_SSLcm_m,".")</f>
        <v>3.5463346774259015E-9</v>
      </c>
      <c r="K16" s="5">
        <f>IFERROR(E16*Isospec!C15*Isospec!F15*s_SSLcm_m,".")</f>
        <v>1.0358195688776992E-11</v>
      </c>
    </row>
    <row r="17" spans="1:11">
      <c r="A17" s="87" t="s">
        <v>32</v>
      </c>
      <c r="B17" s="12" t="s">
        <v>59</v>
      </c>
      <c r="C17" s="2">
        <f>IFERROR((s_DL)/(Doses!H15*s_IRAiw*s_Fin*s_Fi*s_ETiw*(1/24)*s_EFiw),".")</f>
        <v>14080.24330660434</v>
      </c>
      <c r="D17" s="3">
        <f>IFERROR((s_DL)/(Doses!J15*s_GSFa*s_Fin*s_Fi*s_ETiw*(1/24)*s_EFiw*(1/365)),".")</f>
        <v>6820335.3624298181</v>
      </c>
      <c r="E17" s="5">
        <f t="shared" ref="E17:E20" si="28">IFERROR(IF(AND(ISNUMBER(C17),ISNUMBER(D17)),(1/((1/C17)+(1/D17))),IF(AND(ISNUMBER(C17),NOT(ISNUMBER(D17))),(1/(1/C17)),IF(AND(NOT(ISNUMBER(C17)),ISNUMBER(D17)),(1/(1/D17)),"."))),".")</f>
        <v>14051.23522998009</v>
      </c>
      <c r="F17" s="3">
        <f t="shared" ref="F17:F20" si="29">IFERROR(C17/_1_bq,".")</f>
        <v>520.96900234436112</v>
      </c>
      <c r="G17" s="3">
        <f t="shared" ref="G17:G20" si="30">IFERROR(D17/_1_bq,".")</f>
        <v>252352.40840990352</v>
      </c>
      <c r="H17" s="4">
        <f t="shared" ref="H17:H20" si="31">IFERROR(E17/_1_bq,".")</f>
        <v>519.89570350926385</v>
      </c>
      <c r="I17" s="3">
        <f>IFERROR(C17*Isospec!C16*Isospec!F16*s_SSLcm_m,".")</f>
        <v>3.0598098196324032E-12</v>
      </c>
      <c r="J17" s="3">
        <f>IFERROR(D17*Isospec!C16*Isospec!F16*s_SSLcm_m,".")</f>
        <v>1.482142649151546E-9</v>
      </c>
      <c r="K17" s="5">
        <f>IFERROR(E17*Isospec!C16*Isospec!F16*s_SSLcm_m,".")</f>
        <v>3.0535060082727017E-12</v>
      </c>
    </row>
    <row r="18" spans="1:11">
      <c r="A18" s="87" t="s">
        <v>33</v>
      </c>
      <c r="B18" s="90" t="s">
        <v>59</v>
      </c>
      <c r="C18" s="2">
        <f>IFERROR((s_DL)/(Doses!H16*s_IRAiw*s_Fin*s_Fi*s_ETiw*(1/24)*s_EFiw),".")</f>
        <v>0.16298523761210332</v>
      </c>
      <c r="D18" s="3">
        <f>IFERROR((s_DL)/(Doses!J16*s_GSFa*s_Fin*s_Fi*s_ETiw*(1/24)*s_EFiw*(1/365)),".")</f>
        <v>14480542.170763943</v>
      </c>
      <c r="E18" s="5">
        <f t="shared" si="28"/>
        <v>0.16298523577762869</v>
      </c>
      <c r="F18" s="3">
        <f t="shared" si="29"/>
        <v>6.0304537916478287E-3</v>
      </c>
      <c r="G18" s="3">
        <f t="shared" si="30"/>
        <v>535780.06031826639</v>
      </c>
      <c r="H18" s="4">
        <f t="shared" si="31"/>
        <v>6.0304537237722677E-3</v>
      </c>
      <c r="I18" s="3">
        <f>IFERROR(C18*Isospec!C17*Isospec!F17*s_SSLcm_m,".")</f>
        <v>2.1275440976933519E-12</v>
      </c>
      <c r="J18" s="3">
        <f>IFERROR(D18*Isospec!C17*Isospec!F17*s_SSLcm_m,".")</f>
        <v>1.8902320528028422E-4</v>
      </c>
      <c r="K18" s="5">
        <f>IFERROR(E18*Isospec!C17*Isospec!F17*s_SSLcm_m,".")</f>
        <v>2.1275440737468537E-12</v>
      </c>
    </row>
    <row r="19" spans="1:11">
      <c r="A19" s="87" t="s">
        <v>34</v>
      </c>
      <c r="B19" s="90" t="s">
        <v>59</v>
      </c>
      <c r="C19" s="2">
        <f>IFERROR((s_DL)/(Doses!H17*s_IRAiw*s_Fin*s_Fi*s_ETiw*(1/24)*s_EFiw),".")</f>
        <v>78.033554428404216</v>
      </c>
      <c r="D19" s="3">
        <f>IFERROR((s_DL)/(Doses!J17*s_GSFa*s_Fin*s_Fi*s_ETiw*(1/24)*s_EFiw*(1/365)),".")</f>
        <v>61444.462724592959</v>
      </c>
      <c r="E19" s="5">
        <f t="shared" si="28"/>
        <v>77.934578671810812</v>
      </c>
      <c r="F19" s="3">
        <f t="shared" si="29"/>
        <v>2.8872415138509591</v>
      </c>
      <c r="G19" s="3">
        <f t="shared" si="30"/>
        <v>2273.4451208099417</v>
      </c>
      <c r="H19" s="4">
        <f t="shared" si="31"/>
        <v>2.8835794108570028</v>
      </c>
      <c r="I19" s="3">
        <f>IFERROR(C19*Isospec!C18*Isospec!F18*s_SSLcm_m,".")</f>
        <v>2.3841448169744739E-15</v>
      </c>
      <c r="J19" s="3">
        <f>IFERROR(D19*Isospec!C18*Isospec!F18*s_SSLcm_m,".")</f>
        <v>1.8773013533687795E-12</v>
      </c>
      <c r="K19" s="5">
        <f>IFERROR(E19*Isospec!C18*Isospec!F18*s_SSLcm_m,".")</f>
        <v>2.3811208289116873E-15</v>
      </c>
    </row>
    <row r="20" spans="1:11">
      <c r="A20" s="87" t="s">
        <v>36</v>
      </c>
      <c r="B20" s="90" t="s">
        <v>59</v>
      </c>
      <c r="C20" s="2">
        <f>IFERROR((s_DL)/(Doses!H18*s_IRAiw*s_Fin*s_Fi*s_ETiw*(1/24)*s_EFiw),".")</f>
        <v>0.21000021000020996</v>
      </c>
      <c r="D20" s="3">
        <f>IFERROR((s_DL)/(Doses!J18*s_GSFa*s_Fin*s_Fi*s_ETiw*(1/24)*s_EFiw*(1/365)),".")</f>
        <v>1532659632.006701</v>
      </c>
      <c r="E20" s="5">
        <f t="shared" si="28"/>
        <v>0.21000020997143642</v>
      </c>
      <c r="F20" s="3">
        <f t="shared" si="29"/>
        <v>7.7700077700077769E-3</v>
      </c>
      <c r="G20" s="3">
        <f t="shared" si="30"/>
        <v>56708406.384247996</v>
      </c>
      <c r="H20" s="4">
        <f t="shared" si="31"/>
        <v>7.7700077689431555E-3</v>
      </c>
      <c r="I20" s="3">
        <f>IFERROR(C20*Isospec!C19*Isospec!F19*s_SSLcm_m,".")</f>
        <v>4.6812837169001135E-14</v>
      </c>
      <c r="J20" s="3">
        <f>IFERROR(D20*Isospec!C19*Isospec!F19*s_SSLcm_m,".")</f>
        <v>3.4165749543088147E-4</v>
      </c>
      <c r="K20" s="5">
        <f>IFERROR(E20*Isospec!C19*Isospec!F19*s_SSLcm_m,".")</f>
        <v>4.6812837162586995E-14</v>
      </c>
    </row>
    <row r="21" spans="1:11">
      <c r="A21" s="87" t="s">
        <v>37</v>
      </c>
      <c r="B21" s="12" t="s">
        <v>59</v>
      </c>
      <c r="C21" s="2" t="str">
        <f>IFERROR((s_DL)/(Doses!H19*s_IRAiw*s_Fin*s_Fi*s_ETiw*(1/24)*s_EFiw),".")</f>
        <v>.</v>
      </c>
      <c r="D21" s="3">
        <f>IFERROR((s_DL)/(Doses!J19*s_GSFa*s_Fin*s_Fi*s_ETiw*(1/24)*s_EFiw*(1/365)),".")</f>
        <v>398850021.19472617</v>
      </c>
      <c r="E21" s="5">
        <f t="shared" ref="E21:E23" si="32">IFERROR(IF(AND(ISNUMBER(C21),ISNUMBER(D21)),(1/((1/C21)+(1/D21))),IF(AND(ISNUMBER(C21),NOT(ISNUMBER(D21))),(1/(1/C21)),IF(AND(NOT(ISNUMBER(C21)),ISNUMBER(D21)),(1/(1/D21)),"."))),".")</f>
        <v>398850021.19472617</v>
      </c>
      <c r="F21" s="3" t="str">
        <f t="shared" ref="F21:F23" si="33">IFERROR(C21/_1_bq,".")</f>
        <v>.</v>
      </c>
      <c r="G21" s="3">
        <f t="shared" ref="G21:G23" si="34">IFERROR(D21/_1_bq,".")</f>
        <v>14757450.784204884</v>
      </c>
      <c r="H21" s="4">
        <f t="shared" ref="H21:H23" si="35">IFERROR(E21/_1_bq,".")</f>
        <v>14757450.784204884</v>
      </c>
      <c r="I21" s="3" t="str">
        <f>IFERROR(C21*Isospec!C20*Isospec!F20*s_SSLcm_m,".")</f>
        <v>.</v>
      </c>
      <c r="J21" s="3">
        <f>IFERROR(D21*Isospec!C20*Isospec!F20*s_SSLcm_m,".")</f>
        <v>3.168034757389131E-17</v>
      </c>
      <c r="K21" s="5">
        <f>IFERROR(E21*Isospec!C20*Isospec!F20*s_SSLcm_m,".")</f>
        <v>3.168034757389131E-17</v>
      </c>
    </row>
    <row r="22" spans="1:11">
      <c r="A22" s="87" t="s">
        <v>38</v>
      </c>
      <c r="B22" s="90" t="s">
        <v>59</v>
      </c>
      <c r="C22" s="2" t="str">
        <f>IFERROR((s_DL)/(Doses!H20*s_IRAiw*s_Fin*s_Fi*s_ETiw*(1/24)*s_EFiw),".")</f>
        <v>.</v>
      </c>
      <c r="D22" s="3">
        <f>IFERROR((s_DL)/(Doses!J20*s_GSFa*s_Fin*s_Fi*s_ETiw*(1/24)*s_EFiw*(1/365)),".")</f>
        <v>179482509.5376268</v>
      </c>
      <c r="E22" s="5">
        <f t="shared" si="32"/>
        <v>179482509.5376268</v>
      </c>
      <c r="F22" s="3" t="str">
        <f t="shared" si="33"/>
        <v>.</v>
      </c>
      <c r="G22" s="3">
        <f t="shared" si="34"/>
        <v>6640852.8528921986</v>
      </c>
      <c r="H22" s="4">
        <f t="shared" si="35"/>
        <v>6640852.8528921986</v>
      </c>
      <c r="I22" s="3" t="str">
        <f>IFERROR(C22*Isospec!C21*Isospec!F21*s_SSLcm_m,".")</f>
        <v>.</v>
      </c>
      <c r="J22" s="3">
        <f>IFERROR(D22*Isospec!C21*Isospec!F21*s_SSLcm_m,".")</f>
        <v>5.6030551145248457E-16</v>
      </c>
      <c r="K22" s="5">
        <f>IFERROR(E22*Isospec!C21*Isospec!F21*s_SSLcm_m,".")</f>
        <v>5.6030551145248457E-16</v>
      </c>
    </row>
    <row r="23" spans="1:11">
      <c r="A23" s="87" t="s">
        <v>39</v>
      </c>
      <c r="B23" s="90" t="s">
        <v>59</v>
      </c>
      <c r="C23" s="2">
        <f>IFERROR((s_DL)/(Doses!H21*s_IRAiw*s_Fin*s_Fi*s_ETiw*(1/24)*s_EFiw),".")</f>
        <v>477.21307563827253</v>
      </c>
      <c r="D23" s="3">
        <f>IFERROR((s_DL)/(Doses!J21*s_GSFa*s_Fin*s_Fi*s_ETiw*(1/24)*s_EFiw*(1/365)),".")</f>
        <v>260318143604.19159</v>
      </c>
      <c r="E23" s="5">
        <f t="shared" si="32"/>
        <v>477.21307476344953</v>
      </c>
      <c r="F23" s="3">
        <f t="shared" si="33"/>
        <v>17.6568837986161</v>
      </c>
      <c r="G23" s="3">
        <f t="shared" si="34"/>
        <v>9631771313.3550987</v>
      </c>
      <c r="H23" s="4">
        <f t="shared" si="35"/>
        <v>17.656883766247649</v>
      </c>
      <c r="I23" s="3">
        <f>IFERROR(C23*Isospec!C22*Isospec!F22*s_SSLcm_m,".")</f>
        <v>1.7180397074691073E-15</v>
      </c>
      <c r="J23" s="3">
        <f>IFERROR(D23*Isospec!C22*Isospec!F22*s_SSLcm_m,".")</f>
        <v>9.3718493921916745E-7</v>
      </c>
      <c r="K23" s="5">
        <f>IFERROR(E23*Isospec!C22*Isospec!F22*s_SSLcm_m,".")</f>
        <v>1.7180397043196117E-15</v>
      </c>
    </row>
    <row r="24" spans="1:11">
      <c r="A24" s="87" t="s">
        <v>26</v>
      </c>
      <c r="B24" s="12" t="s">
        <v>59</v>
      </c>
      <c r="C24" s="2">
        <f>IFERROR((s_DL)/(Doses!H22*s_IRAiw*s_Fin*s_Fi*s_ETiw*(1/24)*s_EFiw),".")</f>
        <v>0.11686099676587194</v>
      </c>
      <c r="D24" s="3">
        <f>IFERROR((s_DL)/(Doses!J22*s_GSFa*s_Fin*s_Fi*s_ETiw*(1/24)*s_EFiw*(1/365)),".")</f>
        <v>2761269.3775019511</v>
      </c>
      <c r="E24" s="5">
        <f t="shared" ref="E24:E25" si="36">IFERROR(IF(AND(ISNUMBER(C24),ISNUMBER(D24)),(1/((1/C24)+(1/D24))),IF(AND(ISNUMBER(C24),NOT(ISNUMBER(D24))),(1/(1/C24)),IF(AND(NOT(ISNUMBER(C24)),ISNUMBER(D24)),(1/(1/D24)),"."))),".")</f>
        <v>0.11686099182014224</v>
      </c>
      <c r="F24" s="3">
        <f t="shared" ref="F24:F25" si="37">IFERROR(C24/_1_bq,".")</f>
        <v>4.3238568803372667E-3</v>
      </c>
      <c r="G24" s="3">
        <f t="shared" ref="G24:G25" si="38">IFERROR(D24/_1_bq,".")</f>
        <v>102166.9669675723</v>
      </c>
      <c r="H24" s="4">
        <f t="shared" ref="H24:H25" si="39">IFERROR(E24/_1_bq,".")</f>
        <v>4.3238566973452675E-3</v>
      </c>
      <c r="I24" s="3">
        <f>IFERROR(C24*Isospec!C23*Isospec!F23*s_SSLcm_m,".")</f>
        <v>3.0054087031266718E-15</v>
      </c>
      <c r="J24" s="3">
        <f>IFERROR(D24*Isospec!C23*Isospec!F23*s_SSLcm_m,".")</f>
        <v>7.1013796292084109E-8</v>
      </c>
      <c r="K24" s="5">
        <f>IFERROR(E24*Isospec!C23*Isospec!F23*s_SSLcm_m,".")</f>
        <v>3.0054085759333439E-15</v>
      </c>
    </row>
    <row r="25" spans="1:11">
      <c r="A25" s="88" t="s">
        <v>27</v>
      </c>
      <c r="B25" s="90" t="s">
        <v>44</v>
      </c>
      <c r="C25" s="2">
        <f>IFERROR((s_DL)/(Doses!H23*s_IRAiw*s_Fin*s_Fi*s_ETiw*(1/24)*s_EFiw),".")</f>
        <v>9.5417571145726493E-2</v>
      </c>
      <c r="D25" s="3">
        <f>IFERROR((s_DL)/(Doses!J23*s_GSFa*s_Fin*s_Fi*s_ETiw*(1/24)*s_EFiw*(1/365)),".")</f>
        <v>2193033.8785947971</v>
      </c>
      <c r="E25" s="5">
        <f t="shared" si="36"/>
        <v>9.5417566994166134E-2</v>
      </c>
      <c r="F25" s="3">
        <f t="shared" si="37"/>
        <v>3.530450132391884E-3</v>
      </c>
      <c r="G25" s="3">
        <f t="shared" si="38"/>
        <v>81142.253508007576</v>
      </c>
      <c r="H25" s="4">
        <f t="shared" si="39"/>
        <v>3.5304499787841507E-3</v>
      </c>
      <c r="I25" s="3">
        <f>IFERROR(C25*Isospec!C24*Isospec!F24*s_SSLcm_m,".")</f>
        <v>9.6608382433625163E-11</v>
      </c>
      <c r="J25" s="3">
        <f>IFERROR(D25*Isospec!C24*Isospec!F24*s_SSLcm_m,".")</f>
        <v>2.2204029413996603E-3</v>
      </c>
      <c r="K25" s="5">
        <f>IFERROR(E25*Isospec!C24*Isospec!F24*s_SSLcm_m,".")</f>
        <v>9.660837823025332E-11</v>
      </c>
    </row>
    <row r="26" spans="1:11">
      <c r="A26" s="87" t="s">
        <v>30</v>
      </c>
      <c r="B26" s="90" t="s">
        <v>59</v>
      </c>
      <c r="C26" s="2" t="str">
        <f>IFERROR((s_DL)/(Doses!H24*s_IRAiw*s_Fin*s_Fi*s_ETiw*(1/24)*s_EFiw),".")</f>
        <v>.</v>
      </c>
      <c r="D26" s="3">
        <f>IFERROR((s_DL)/(Doses!J24*s_GSFa*s_Fin*s_Fi*s_ETiw*(1/24)*s_EFiw*(1/365)),".")</f>
        <v>20059809.889499459</v>
      </c>
      <c r="E26" s="5">
        <f t="shared" ref="E26:E27" si="40">IFERROR(IF(AND(ISNUMBER(C26),ISNUMBER(D26)),(1/((1/C26)+(1/D26))),IF(AND(ISNUMBER(C26),NOT(ISNUMBER(D26))),(1/(1/C26)),IF(AND(NOT(ISNUMBER(C26)),ISNUMBER(D26)),(1/(1/D26)),"."))),".")</f>
        <v>20059809.889499459</v>
      </c>
      <c r="F26" s="3" t="str">
        <f t="shared" ref="F26:F27" si="41">IFERROR(C26/_1_bq,".")</f>
        <v>.</v>
      </c>
      <c r="G26" s="3">
        <f t="shared" ref="G26:G27" si="42">IFERROR(D26/_1_bq,".")</f>
        <v>742212.96591148071</v>
      </c>
      <c r="H26" s="4">
        <f t="shared" ref="H26:H27" si="43">IFERROR(E26/_1_bq,".")</f>
        <v>742212.96591148071</v>
      </c>
      <c r="I26" s="3" t="str">
        <f>IFERROR(C26*Isospec!C25*Isospec!F25*s_SSLcm_m,".")</f>
        <v>.</v>
      </c>
      <c r="J26" s="3">
        <f>IFERROR(D26*Isospec!C25*Isospec!F25*s_SSLcm_m,".")</f>
        <v>1.3589478008602286E-14</v>
      </c>
      <c r="K26" s="5">
        <f>IFERROR(E26*Isospec!C25*Isospec!F25*s_SSLcm_m,".")</f>
        <v>1.3589478008602286E-14</v>
      </c>
    </row>
    <row r="27" spans="1:11">
      <c r="A27" s="88" t="s">
        <v>31</v>
      </c>
      <c r="B27" s="90" t="s">
        <v>44</v>
      </c>
      <c r="C27" s="2">
        <f>IFERROR((s_DL)/(Doses!H25*s_IRAiw*s_Fin*s_Fi*s_ETiw*(1/24)*s_EFiw),".")</f>
        <v>555.17002081887574</v>
      </c>
      <c r="D27" s="3">
        <f>IFERROR((s_DL)/(Doses!J25*s_GSFa*s_Fin*s_Fi*s_ETiw*(1/24)*s_EFiw*(1/365)),".")</f>
        <v>39423903.8290741</v>
      </c>
      <c r="E27" s="5">
        <f t="shared" si="40"/>
        <v>555.16220298802045</v>
      </c>
      <c r="F27" s="3">
        <f t="shared" si="41"/>
        <v>20.541290770298424</v>
      </c>
      <c r="G27" s="3">
        <f t="shared" si="42"/>
        <v>1458684.4416757431</v>
      </c>
      <c r="H27" s="4">
        <f t="shared" si="43"/>
        <v>20.541001510556779</v>
      </c>
      <c r="I27" s="3">
        <f>IFERROR(C27*Isospec!C26*Isospec!F26*s_SSLcm_m,".")</f>
        <v>3.6149745325257818E-12</v>
      </c>
      <c r="J27" s="3">
        <f>IFERROR(D27*Isospec!C26*Isospec!F26*s_SSLcm_m,".")</f>
        <v>2.5670768047712093E-7</v>
      </c>
      <c r="K27" s="5">
        <f>IFERROR(E27*Isospec!C26*Isospec!F26*s_SSLcm_m,".")</f>
        <v>3.6149236269322129E-12</v>
      </c>
    </row>
    <row r="28" spans="1:11">
      <c r="A28" s="87" t="s">
        <v>35</v>
      </c>
      <c r="B28" s="12" t="s">
        <v>59</v>
      </c>
      <c r="C28" s="2">
        <f>IFERROR((s_DL)/(Doses!H26*s_IRAiw*s_Fin*s_Fi*s_ETiw*(1/24)*s_EFiw),".")</f>
        <v>1.301723156027792E-2</v>
      </c>
      <c r="D28" s="3">
        <f>IFERROR((s_DL)/(Doses!J26*s_GSFa*s_Fin*s_Fi*s_ETiw*(1/24)*s_EFiw*(1/365)),".")</f>
        <v>205431.78802499454</v>
      </c>
      <c r="E28" s="5">
        <f t="shared" ref="E28:E31" si="44">IFERROR(IF(AND(ISNUMBER(C28),ISNUMBER(D28)),(1/((1/C28)+(1/D28))),IF(AND(ISNUMBER(C28),NOT(ISNUMBER(D28))),(1/(1/C28)),IF(AND(NOT(ISNUMBER(C28)),ISNUMBER(D28)),(1/(1/D28)),"."))),".")</f>
        <v>1.3017230735438159E-2</v>
      </c>
      <c r="F28" s="3">
        <f t="shared" ref="F28:F31" si="45">IFERROR(C28/_1_bq,".")</f>
        <v>4.8163756773028356E-4</v>
      </c>
      <c r="G28" s="3">
        <f t="shared" ref="G28:G31" si="46">IFERROR(D28/_1_bq,".")</f>
        <v>7600.9761569248058</v>
      </c>
      <c r="H28" s="4">
        <f t="shared" ref="H28:H31" si="47">IFERROR(E28/_1_bq,".")</f>
        <v>4.816375372112124E-4</v>
      </c>
      <c r="I28" s="3">
        <f>IFERROR(C28*Isospec!C27*Isospec!F27*s_SSLcm_m,".")</f>
        <v>6.1264402753144482E-11</v>
      </c>
      <c r="J28" s="3">
        <f>IFERROR(D28*Isospec!C27*Isospec!F27*s_SSLcm_m,".")</f>
        <v>9.6684581061513874E-4</v>
      </c>
      <c r="K28" s="5">
        <f>IFERROR(E28*Isospec!C27*Isospec!F27*s_SSLcm_m,".")</f>
        <v>6.1264398871112042E-11</v>
      </c>
    </row>
    <row r="29" spans="1:11">
      <c r="A29" s="87" t="s">
        <v>40</v>
      </c>
      <c r="B29" s="90" t="s">
        <v>59</v>
      </c>
      <c r="C29" s="2" t="str">
        <f>IFERROR((s_DL)/(Doses!H27*s_IRAiw*s_Fin*s_Fi*s_ETiw*(1/24)*s_EFiw),".")</f>
        <v>.</v>
      </c>
      <c r="D29" s="3">
        <f>IFERROR((s_DL)/(Doses!J27*s_GSFa*s_Fin*s_Fi*s_ETiw*(1/24)*s_EFiw*(1/365)),".")</f>
        <v>1717968.60514605</v>
      </c>
      <c r="E29" s="5">
        <f t="shared" si="44"/>
        <v>1717968.60514605</v>
      </c>
      <c r="F29" s="3" t="str">
        <f t="shared" si="45"/>
        <v>.</v>
      </c>
      <c r="G29" s="3">
        <f t="shared" si="46"/>
        <v>63564.838390403915</v>
      </c>
      <c r="H29" s="4">
        <f t="shared" si="47"/>
        <v>63564.838390403915</v>
      </c>
      <c r="I29" s="3" t="str">
        <f>IFERROR(C29*Isospec!C28*Isospec!F28*s_SSLcm_m,".")</f>
        <v>.</v>
      </c>
      <c r="J29" s="3">
        <f>IFERROR(D29*Isospec!C28*Isospec!F28*s_SSLcm_m,".")</f>
        <v>7.918344794677753E-12</v>
      </c>
      <c r="K29" s="5">
        <f>IFERROR(E29*Isospec!C28*Isospec!F28*s_SSLcm_m,".")</f>
        <v>7.918344794677753E-12</v>
      </c>
    </row>
    <row r="30" spans="1:11">
      <c r="A30" s="87" t="s">
        <v>41</v>
      </c>
      <c r="B30" s="12" t="s">
        <v>59</v>
      </c>
      <c r="C30" s="2" t="str">
        <f>IFERROR((s_DL)/(Doses!H28*s_IRAiw*s_Fin*s_Fi*s_ETiw*(1/24)*s_EFiw),".")</f>
        <v>.</v>
      </c>
      <c r="D30" s="3">
        <f>IFERROR((s_DL)/(Doses!J28*s_GSFa*s_Fin*s_Fi*s_ETiw*(1/24)*s_EFiw*(1/365)),".")</f>
        <v>6686.603296499823</v>
      </c>
      <c r="E30" s="5">
        <f t="shared" si="44"/>
        <v>6686.603296499824</v>
      </c>
      <c r="F30" s="3" t="str">
        <f t="shared" si="45"/>
        <v>.</v>
      </c>
      <c r="G30" s="3">
        <f t="shared" si="46"/>
        <v>247.4043219704937</v>
      </c>
      <c r="H30" s="4">
        <f t="shared" si="47"/>
        <v>247.40432197049373</v>
      </c>
      <c r="I30" s="3" t="str">
        <f>IFERROR(C30*Isospec!C29*Isospec!F29*s_SSLcm_m,".")</f>
        <v>.</v>
      </c>
      <c r="J30" s="3">
        <f>IFERROR(D30*Isospec!C29*Isospec!F29*s_SSLcm_m,".")</f>
        <v>1.6088267766990759E-14</v>
      </c>
      <c r="K30" s="5">
        <f>IFERROR(E30*Isospec!C29*Isospec!F29*s_SSLcm_m,".")</f>
        <v>1.6088267766990762E-14</v>
      </c>
    </row>
    <row r="31" spans="1:11">
      <c r="A31" s="87" t="s">
        <v>42</v>
      </c>
      <c r="B31" s="90" t="s">
        <v>59</v>
      </c>
      <c r="C31" s="2" t="str">
        <f>IFERROR((s_DL)/(Doses!H29*s_IRAiw*s_Fin*s_Fi*s_ETiw*(1/24)*s_EFiw),".")</f>
        <v>.</v>
      </c>
      <c r="D31" s="3">
        <f>IFERROR((s_DL)/(Doses!J29*s_GSFa*s_Fin*s_Fi*s_ETiw*(1/24)*s_EFiw*(1/365)),".")</f>
        <v>5166.9207291134981</v>
      </c>
      <c r="E31" s="5">
        <f t="shared" si="44"/>
        <v>5166.9207291134981</v>
      </c>
      <c r="F31" s="3" t="str">
        <f t="shared" si="45"/>
        <v>.</v>
      </c>
      <c r="G31" s="3">
        <f t="shared" si="46"/>
        <v>191.17606697719961</v>
      </c>
      <c r="H31" s="4">
        <f t="shared" si="47"/>
        <v>191.17606697719961</v>
      </c>
      <c r="I31" s="3" t="str">
        <f>IFERROR(C31*Isospec!C30*Isospec!F30*s_SSLcm_m,".")</f>
        <v>.</v>
      </c>
      <c r="J31" s="3">
        <f>IFERROR(D31*Isospec!C30*Isospec!F30*s_SSLcm_m,".")</f>
        <v>7.5144486402859541E-15</v>
      </c>
      <c r="K31" s="5">
        <f>IFERROR(E31*Isospec!C30*Isospec!F30*s_SSLcm_m,".")</f>
        <v>7.5144486402859541E-15</v>
      </c>
    </row>
    <row r="32" spans="1:11">
      <c r="A32" s="87" t="s">
        <v>25</v>
      </c>
      <c r="B32" s="12" t="s">
        <v>59</v>
      </c>
      <c r="C32" s="2">
        <f>IFERROR((s_DL)/(Doses!H30*s_IRAiw*s_Fin*s_Fi*s_ETiw*(1/24)*s_EFiw),".")</f>
        <v>9.5417571145726493E-2</v>
      </c>
      <c r="D32" s="3">
        <f>IFERROR((s_DL)/(Doses!J30*s_GSFa*s_Fin*s_Fi*s_ETiw*(1/24)*s_EFiw*(1/365)),".")</f>
        <v>64342786.438017152</v>
      </c>
      <c r="E32" s="5">
        <f t="shared" ref="E32" si="48">IFERROR(IF(AND(ISNUMBER(C32),ISNUMBER(D32)),(1/((1/C32)+(1/D32))),IF(AND(ISNUMBER(C32),NOT(ISNUMBER(D32))),(1/(1/C32)),IF(AND(NOT(ISNUMBER(C32)),ISNUMBER(D32)),(1/(1/D32)),"."))),".")</f>
        <v>9.5417571004226348E-2</v>
      </c>
      <c r="F32" s="3">
        <f t="shared" ref="F32" si="49">IFERROR(C32/_1_bq,".")</f>
        <v>3.530450132391884E-3</v>
      </c>
      <c r="G32" s="3">
        <f t="shared" ref="G32" si="50">IFERROR(D32/_1_bq,".")</f>
        <v>2380683.098206637</v>
      </c>
      <c r="H32" s="4">
        <f t="shared" ref="H32" si="51">IFERROR(E32/_1_bq,".")</f>
        <v>3.5304501271563784E-3</v>
      </c>
      <c r="I32" s="3">
        <f>IFERROR(C32*Isospec!C31*Isospec!F31*s_SSLcm_m,".")</f>
        <v>9.9102674077431367E-9</v>
      </c>
      <c r="J32" s="3">
        <f>IFERROR(D32*Isospec!C31*Isospec!F31*s_SSLcm_m,".")</f>
        <v>6.6827756324482523</v>
      </c>
      <c r="K32" s="5">
        <f>IFERROR(E32*Isospec!C31*Isospec!F31*s_SSLcm_m,".")</f>
        <v>9.910267393046637E-9</v>
      </c>
    </row>
    <row r="33" spans="1:11">
      <c r="A33" s="30" t="s">
        <v>14</v>
      </c>
      <c r="B33" s="30" t="s">
        <v>59</v>
      </c>
      <c r="C33" s="76">
        <f>IFERROR(1/SUM(1/C34,1/C35,1/C36,1/C37,1/C38,1/C39,1/C40,1/C43,1/C46),0)</f>
        <v>4.589737106635362E-3</v>
      </c>
      <c r="D33" s="77">
        <f>IFERROR(1/SUM(1/D34,1/D35,1/D36,1/D37,1/D38,1/D39,1/D40,1/D41,1/D42,1/D43,1/D44,1/D45,1/D46),0)</f>
        <v>27976.623841929511</v>
      </c>
      <c r="E33" s="78">
        <f>IFERROR(1/SUM(1/E34,1/E35,1/E36,1/E37,1/E38,1/E39,1/E40,1/E41,1/E42,1/E43,1/E44,1/E45,1/E46),0)</f>
        <v>4.5897363536609014E-3</v>
      </c>
      <c r="F33" s="76">
        <f>IFERROR(1/SUM(1/F34,1/F35,1/F36,1/F37,1/F38,1/F39,1/F40,1/F43,1/F46),0)</f>
        <v>1.6982027294550861E-4</v>
      </c>
      <c r="G33" s="77">
        <f>IFERROR(1/SUM(1/G34,1/G35,1/G36,1/G37,1/G38,1/G39,1/G40,1/G41,1/G42,1/G43,1/G44,1/G45,1/G46),0)</f>
        <v>1035.1350821513927</v>
      </c>
      <c r="H33" s="78">
        <f>IFERROR(1/SUM(1/H34,1/H35,1/H36,1/H37,1/H38,1/H39,1/H40,1/H41,1/H42,1/H43,1/H44,1/H45,1/H46),0)</f>
        <v>1.6982024508545356E-4</v>
      </c>
      <c r="I33" s="20">
        <f>IFERROR(C33*Isospec!$C$4*Isospec!$F$4*SSLcm_m,".")</f>
        <v>1.3385902179287698E-12</v>
      </c>
      <c r="J33" s="19">
        <f>IFERROR(D33*Isospec!$C$4*Isospec!$F$4*SSLcm_m,".")</f>
        <v>8.1593420571604089E-6</v>
      </c>
      <c r="K33" s="21">
        <f>IFERROR(E33*Isospec!$C$4*Isospec!$F$4*SSLcm_m,".")</f>
        <v>1.3385899983248527E-12</v>
      </c>
    </row>
    <row r="34" spans="1:11">
      <c r="A34" s="31" t="s">
        <v>175</v>
      </c>
      <c r="B34" s="32">
        <v>1</v>
      </c>
      <c r="C34" s="70">
        <f>IFERROR(VLOOKUP("Am-241",$A$4:$L$32,3)/$B34,0)</f>
        <v>1.0018358642211855E-2</v>
      </c>
      <c r="D34" s="71">
        <f>IFERROR(VLOOKUP("Am-241",$A$4:$L$32,4)/$B34,0)</f>
        <v>1014930.8575044376</v>
      </c>
      <c r="E34" s="72">
        <f>IFERROR(IF(AND(C34&lt;&gt;0,D34&lt;&gt;0),(1/((1/C34)+(1/D34))),IF(AND(C34&lt;&gt;0,D34=0),(1/(1/C34)),IF(AND(C34=0,D34&lt;&gt;0),(1/(1/D34)),0))),0)</f>
        <v>1.0018358543320872E-2</v>
      </c>
      <c r="F34" s="70">
        <f>IFERROR(VLOOKUP("Am-241",$A$4:$L$32,6)/$B34,0)</f>
        <v>3.7067926976183901E-4</v>
      </c>
      <c r="G34" s="71">
        <f>IFERROR(VLOOKUP("Am-241",$A$4:$L$32,7)/$B34,0)</f>
        <v>37552.441727664227</v>
      </c>
      <c r="H34" s="72">
        <f>IFERROR(IF(AND(F34&lt;&gt;0,G34&lt;&gt;0),(1/((1/F34)+(1/G34))),IF(AND(F34&lt;&gt;0,G34=0),(1/(1/F34)),IF(AND(F34=0,G34&lt;&gt;0),(1/(1/G34)),0))),0)</f>
        <v>3.7067926610287265E-4</v>
      </c>
      <c r="I34" s="70">
        <f>IFERROR(VLOOKUP("Am-241",$A$4:$K$32,9)/$B34,0)</f>
        <v>2.9218398715646421E-12</v>
      </c>
      <c r="J34" s="71">
        <f>IFERROR(VLOOKUP("Am-241",$A$4:$L$32,10)/$B34,0)</f>
        <v>2.9600312309073447E-4</v>
      </c>
      <c r="K34" s="72">
        <f>IFERROR(VLOOKUP("Am-241",$A$4:$L$32,11)/$B34,0)</f>
        <v>2.9218398427232303E-12</v>
      </c>
    </row>
    <row r="35" spans="1:11">
      <c r="A35" s="31" t="s">
        <v>176</v>
      </c>
      <c r="B35" s="32">
        <v>1</v>
      </c>
      <c r="C35" s="70">
        <f>IFERROR(VLOOKUP("Np-237",$A$4:$L$32,3)/$B35,0)</f>
        <v>7.8000078000078008E-2</v>
      </c>
      <c r="D35" s="71">
        <f>IFERROR(VLOOKUP("Np-237",$A$4:$L$32,4)/$B35,0)</f>
        <v>793062.25144532777</v>
      </c>
      <c r="E35" s="72">
        <f t="shared" ref="E35:E46" si="52">IFERROR(IF(AND(C35&lt;&gt;0,D35&lt;&gt;0),(1/((1/C35)+(1/D35))),IF(AND(C35&lt;&gt;0,D35=0),(1/(1/C35)),IF(AND(C35=0,D35&lt;&gt;0),(1/(1/D35)),0))),0)</f>
        <v>7.8000070328534496E-2</v>
      </c>
      <c r="F35" s="70">
        <f>IFERROR(VLOOKUP("Np-237",$A$4:$L$32,6)/$B35,0)</f>
        <v>2.886002886002889E-3</v>
      </c>
      <c r="G35" s="71">
        <f>IFERROR(VLOOKUP("Np-237",$A$4:$L$32,7)/$B35,0)</f>
        <v>29343.303303477158</v>
      </c>
      <c r="H35" s="72">
        <f t="shared" ref="H35" si="53">IFERROR(IF(AND(F35&lt;&gt;0,G35&lt;&gt;0),(1/((1/F35)+(1/G35))),IF(AND(F35&lt;&gt;0,G35=0),(1/(1/F35)),IF(AND(F35=0,G35&lt;&gt;0),(1/(1/G35)),0))),0)</f>
        <v>2.8860026021557787E-3</v>
      </c>
      <c r="I35" s="70">
        <f>IFERROR(VLOOKUP("Np-237",$A$4:$L$32,9)/$B35,0)</f>
        <v>1.1097526617526619E-7</v>
      </c>
      <c r="J35" s="71">
        <f>IFERROR(VLOOKUP("Np-237",$A$4:$L$32,10)/$B35,0)</f>
        <v>1.1283359799667523</v>
      </c>
      <c r="K35" s="72">
        <f>IFERROR(VLOOKUP("Np-237",$A$4:$L$32,11)/$B35,0)</f>
        <v>1.1097525526051323E-7</v>
      </c>
    </row>
    <row r="36" spans="1:11">
      <c r="A36" s="31" t="s">
        <v>177</v>
      </c>
      <c r="B36" s="32">
        <v>1</v>
      </c>
      <c r="C36" s="70">
        <f>IFERROR(VLOOKUP("Pa-233",$A$4:$L$32,3)/$B36,0)</f>
        <v>215.52653131600502</v>
      </c>
      <c r="D36" s="71">
        <f>IFERROR(VLOOKUP("Pa-233",$A$4:$L$32,4)/$B36,0)</f>
        <v>73574.275754366972</v>
      </c>
      <c r="E36" s="72">
        <f>IFERROR(IF(AND(C36&lt;&gt;0,D36&lt;&gt;0),(1/((1/C36)+(1/D36))),IF(AND(C36&lt;&gt;0,D36=0),(1/(1/C36)),IF(AND(C36=0,D36&lt;&gt;0),(1/(1/D36)),0))),0)</f>
        <v>214.89701769403774</v>
      </c>
      <c r="F36" s="70">
        <f>IFERROR(VLOOKUP("Pa-233",$A$4:$L$32,6)/$B36,0)</f>
        <v>7.9744816586921941</v>
      </c>
      <c r="G36" s="71">
        <f>IFERROR(VLOOKUP("Pa-233",$A$4:$L$32,7)/$B36,0)</f>
        <v>2722.2482029115808</v>
      </c>
      <c r="H36" s="72">
        <f>IFERROR(IF(AND(F36&lt;&gt;0,G36&lt;&gt;0),(1/((1/F36)+(1/G36))),IF(AND(F36&lt;&gt;0,G36=0),(1/(1/F36)),IF(AND(F36=0,G36&lt;&gt;0),(1/(1/G36)),0))),0)</f>
        <v>7.951189654679407</v>
      </c>
      <c r="I36" s="70">
        <f>IFERROR(VLOOKUP("Pa-233",$A$4:$L$32,9)/$B36,0)</f>
        <v>1.0388538712403181E-11</v>
      </c>
      <c r="J36" s="71">
        <f>IFERROR(VLOOKUP("Pa-233",$A$4:$L$32,10)/$B36,0)</f>
        <v>3.5463346774259015E-9</v>
      </c>
      <c r="K36" s="72">
        <f>IFERROR(VLOOKUP("Pa-233",$A$4:$L$32,11)/$B36,0)</f>
        <v>1.0358195688776992E-11</v>
      </c>
    </row>
    <row r="37" spans="1:11">
      <c r="A37" s="31" t="s">
        <v>178</v>
      </c>
      <c r="B37" s="32">
        <v>1</v>
      </c>
      <c r="C37" s="70">
        <f>IFERROR(VLOOKUP("U-233",$A$4:$L$32,3)/$B37,0)</f>
        <v>9.5417571145726493E-2</v>
      </c>
      <c r="D37" s="71">
        <f>IFERROR(VLOOKUP("U-233",$A$4:$L$32,4)/$B37,0)</f>
        <v>64342786.438017152</v>
      </c>
      <c r="E37" s="72">
        <f t="shared" si="52"/>
        <v>9.5417571004226348E-2</v>
      </c>
      <c r="F37" s="70">
        <f>IFERROR(VLOOKUP("U-233",$A$4:$L$32,6)/$B37,0)</f>
        <v>3.530450132391884E-3</v>
      </c>
      <c r="G37" s="71">
        <f>IFERROR(VLOOKUP("U-233",$A$4:$L$32,7)/$B37,0)</f>
        <v>2380683.098206637</v>
      </c>
      <c r="H37" s="72">
        <f t="shared" ref="H37:H46" si="54">IFERROR(IF(AND(F37&lt;&gt;0,G37&lt;&gt;0),(1/((1/F37)+(1/G37))),IF(AND(F37&lt;&gt;0,G37=0),(1/(1/F37)),IF(AND(F37=0,G37&lt;&gt;0),(1/(1/G37)),0))),0)</f>
        <v>3.5304501271563793E-3</v>
      </c>
      <c r="I37" s="70">
        <f>IFERROR(VLOOKUP("U-233",$A$4:$L$32,9)/$B37,0)</f>
        <v>9.9102674077431367E-9</v>
      </c>
      <c r="J37" s="71">
        <f>IFERROR(VLOOKUP("U-233",$A$4:$L$32,10)/$B37,0)</f>
        <v>6.6827756324482523</v>
      </c>
      <c r="K37" s="72">
        <f>IFERROR(VLOOKUP("U-233",$A$4:$L$32,11)/$B37,0)</f>
        <v>9.910267393046637E-9</v>
      </c>
    </row>
    <row r="38" spans="1:11">
      <c r="A38" s="31" t="s">
        <v>179</v>
      </c>
      <c r="B38" s="32">
        <v>1</v>
      </c>
      <c r="C38" s="70">
        <f>IFERROR(VLOOKUP("Th-229",$A$4:$L$32,3)/$B38,0)</f>
        <v>1.301723156027792E-2</v>
      </c>
      <c r="D38" s="71">
        <f>IFERROR(VLOOKUP("Th-229",$A$4:$L$32,4)/$B38,0)</f>
        <v>205431.78802499454</v>
      </c>
      <c r="E38" s="72">
        <f t="shared" si="52"/>
        <v>1.3017230735438159E-2</v>
      </c>
      <c r="F38" s="70">
        <f>IFERROR(VLOOKUP("Th-229",$A$4:$L$32,6)/$B38,0)</f>
        <v>4.8163756773028356E-4</v>
      </c>
      <c r="G38" s="71">
        <f>IFERROR(VLOOKUP("Th-229",$A$4:$L$32,7)/$B38,0)</f>
        <v>7600.9761569248058</v>
      </c>
      <c r="H38" s="72">
        <f t="shared" si="54"/>
        <v>4.8163753721121246E-4</v>
      </c>
      <c r="I38" s="70">
        <f>IFERROR(VLOOKUP("Th-229",$A$4:$L$32,9)/$B38,0)</f>
        <v>6.1264402753144482E-11</v>
      </c>
      <c r="J38" s="71">
        <f>IFERROR(VLOOKUP("Th-229",$A$4:$L$32,10)/$B38,0)</f>
        <v>9.6684581061513874E-4</v>
      </c>
      <c r="K38" s="72">
        <f>IFERROR(VLOOKUP("Th-229",$A$4:$L$32,11)/$B38,0)</f>
        <v>6.1264398871112042E-11</v>
      </c>
    </row>
    <row r="39" spans="1:11">
      <c r="A39" s="31" t="s">
        <v>180</v>
      </c>
      <c r="B39" s="32">
        <v>1</v>
      </c>
      <c r="C39" s="70">
        <f>IFERROR(VLOOKUP("Ra-225",$A$4:$L$32,3)/$B39,0)</f>
        <v>0.11686099676587194</v>
      </c>
      <c r="D39" s="71">
        <f>IFERROR(VLOOKUP("Ra-225",$A$4:$L$32,4)/$B39,0)</f>
        <v>2761269.3775019511</v>
      </c>
      <c r="E39" s="72">
        <f t="shared" si="52"/>
        <v>0.11686099182014224</v>
      </c>
      <c r="F39" s="70">
        <f>IFERROR(VLOOKUP("Ra-225",$A$4:$L$32,6)/$B39,0)</f>
        <v>4.3238568803372667E-3</v>
      </c>
      <c r="G39" s="71">
        <f>IFERROR(VLOOKUP("Ra-225",$A$4:$L$32,7)/$B39,0)</f>
        <v>102166.9669675723</v>
      </c>
      <c r="H39" s="72">
        <f t="shared" si="54"/>
        <v>4.3238566973452675E-3</v>
      </c>
      <c r="I39" s="70">
        <f>IFERROR(VLOOKUP("Ra-225",$A$4:$L$32,9)/$B39,0)</f>
        <v>3.0054087031266718E-15</v>
      </c>
      <c r="J39" s="71">
        <f>IFERROR(VLOOKUP("Ra-225",$A$4:$L$32,10)/$B39,0)</f>
        <v>7.1013796292084109E-8</v>
      </c>
      <c r="K39" s="72">
        <f>IFERROR(VLOOKUP("Ra-225",$A$4:$L$32,11)/$B39,0)</f>
        <v>3.0054085759333439E-15</v>
      </c>
    </row>
    <row r="40" spans="1:11">
      <c r="A40" s="31" t="s">
        <v>181</v>
      </c>
      <c r="B40" s="32">
        <v>1</v>
      </c>
      <c r="C40" s="70">
        <f>IFERROR(VLOOKUP("Ac-225",$A$4:$L$32,3)/$B40,0)</f>
        <v>0.10705893058834236</v>
      </c>
      <c r="D40" s="71">
        <f>IFERROR(VLOOKUP("Ac-225",$A$4:$L$32,4)/$B40,0)</f>
        <v>1205006.24777912</v>
      </c>
      <c r="E40" s="72">
        <f t="shared" si="52"/>
        <v>0.10705892107667915</v>
      </c>
      <c r="F40" s="70">
        <f>IFERROR(VLOOKUP("Ac-225",$A$4:$L$32,6)/$B40,0)</f>
        <v>3.9611804317686711E-3</v>
      </c>
      <c r="G40" s="71">
        <f>IFERROR(VLOOKUP("Ac-225",$A$4:$L$32,7)/$B40,0)</f>
        <v>44585.231167827485</v>
      </c>
      <c r="H40" s="72">
        <f t="shared" si="54"/>
        <v>3.9611800798371325E-3</v>
      </c>
      <c r="I40" s="70">
        <f>IFERROR(VLOOKUP("Ac-225",$A$4:$L$32,9)/$B40,0)</f>
        <v>1.8478664731686756E-15</v>
      </c>
      <c r="J40" s="71">
        <f>IFERROR(VLOOKUP("Ac-225",$A$4:$L$32,10)/$B40,0)</f>
        <v>2.0798737975365935E-8</v>
      </c>
      <c r="K40" s="72">
        <f>IFERROR(VLOOKUP("Ac-225",$A$4:$L$32,11)/$B40,0)</f>
        <v>1.8478663089947629E-15</v>
      </c>
    </row>
    <row r="41" spans="1:11">
      <c r="A41" s="31" t="s">
        <v>182</v>
      </c>
      <c r="B41" s="32">
        <v>1</v>
      </c>
      <c r="C41" s="70">
        <f>IFERROR(VLOOKUP("Fr-221",$A$4:$L$32,3)/$B41,0)</f>
        <v>0</v>
      </c>
      <c r="D41" s="71">
        <f>IFERROR(VLOOKUP("Fr-221",$A$4:$L$32,4)/$B41,0)</f>
        <v>545626.82899438555</v>
      </c>
      <c r="E41" s="72">
        <f t="shared" si="52"/>
        <v>545626.82899438555</v>
      </c>
      <c r="F41" s="70">
        <f>IFERROR(VLOOKUP("Fr-221",$A$4:$L$32,6)/$B41,0)</f>
        <v>0</v>
      </c>
      <c r="G41" s="71">
        <f>IFERROR(VLOOKUP("Fr-221",$A$4:$L$32,7)/$B41,0)</f>
        <v>20188.192672792287</v>
      </c>
      <c r="H41" s="72">
        <f t="shared" si="54"/>
        <v>20188.192672792287</v>
      </c>
      <c r="I41" s="70">
        <f>IFERROR(VLOOKUP("Fr-221",$A$4:$L$32,9)/$B41,0)</f>
        <v>0</v>
      </c>
      <c r="J41" s="71">
        <f>IFERROR(VLOOKUP("Fr-221",$A$4:$L$32,10)/$B41,0)</f>
        <v>3.1476522464430336E-12</v>
      </c>
      <c r="K41" s="72">
        <f>IFERROR(VLOOKUP("Fr-221",$A$4:$L$32,11)/$B41,0)</f>
        <v>3.1476522464430336E-12</v>
      </c>
    </row>
    <row r="42" spans="1:11">
      <c r="A42" s="31" t="s">
        <v>183</v>
      </c>
      <c r="B42" s="32">
        <v>1</v>
      </c>
      <c r="C42" s="70">
        <f>IFERROR(VLOOKUP("At-217",$A$4:$L$32,3)/$B42,0)</f>
        <v>0</v>
      </c>
      <c r="D42" s="71">
        <f>IFERROR(VLOOKUP("At-217",$A$4:$L$32,4)/$B42,0)</f>
        <v>64342786.438017152</v>
      </c>
      <c r="E42" s="72">
        <f t="shared" si="52"/>
        <v>64342786.438017145</v>
      </c>
      <c r="F42" s="70">
        <f>IFERROR(VLOOKUP("At-217",$A$4:$L$32,6)/$B42,0)</f>
        <v>0</v>
      </c>
      <c r="G42" s="71">
        <f>IFERROR(VLOOKUP("At-217",$A$4:$L$32,7)/$B42,0)</f>
        <v>2380683.098206637</v>
      </c>
      <c r="H42" s="72">
        <f t="shared" si="54"/>
        <v>2380683.098206637</v>
      </c>
      <c r="I42" s="70">
        <f>IFERROR(VLOOKUP("At-217",$A$4:$L$32,9)/$B42,0)</f>
        <v>0</v>
      </c>
      <c r="J42" s="71">
        <f>IFERROR(VLOOKUP("At-217",$A$4:$L$32,10)/$B42,0)</f>
        <v>4.0041795674263742E-14</v>
      </c>
      <c r="K42" s="72">
        <f>IFERROR(VLOOKUP("At-217",$A$4:$L$32,11)/$B42,0)</f>
        <v>4.0041795674263742E-14</v>
      </c>
    </row>
    <row r="43" spans="1:11">
      <c r="A43" s="31" t="s">
        <v>184</v>
      </c>
      <c r="B43" s="33">
        <v>0.99987999999999999</v>
      </c>
      <c r="C43" s="70">
        <f>IFERROR(VLOOKUP("Bi-213",$A$4:$L$32,3)/$B43,0)</f>
        <v>27.687857269660615</v>
      </c>
      <c r="D43" s="71">
        <f>IFERROR(VLOOKUP("Bi-213",$A$4:$L$32,4)/$B43,0)</f>
        <v>114834.24075585735</v>
      </c>
      <c r="E43" s="72">
        <f t="shared" si="52"/>
        <v>27.681183017805004</v>
      </c>
      <c r="F43" s="70">
        <f>IFERROR(VLOOKUP("Bi-213",$A$4:$L$32,6)/$B43,0)</f>
        <v>1.0244507189774439</v>
      </c>
      <c r="G43" s="71">
        <f>IFERROR(VLOOKUP("Bi-213",$A$4:$L$32,7)/$B43,0)</f>
        <v>4248.8669079667261</v>
      </c>
      <c r="H43" s="72">
        <f t="shared" si="54"/>
        <v>1.0242037716587864</v>
      </c>
      <c r="I43" s="70">
        <f>IFERROR(VLOOKUP("Bi-213",$A$4:$L$32,9)/$B43,0)</f>
        <v>1.4323238315596913E-15</v>
      </c>
      <c r="J43" s="71">
        <f>IFERROR(VLOOKUP("Bi-213",$A$4:$L$32,10)/$B43,0)</f>
        <v>5.9405037418301375E-12</v>
      </c>
      <c r="K43" s="72">
        <f>IFERROR(VLOOKUP("Bi-213",$A$4:$L$32,11)/$B43,0)</f>
        <v>1.4319785650445717E-15</v>
      </c>
    </row>
    <row r="44" spans="1:11">
      <c r="A44" s="31" t="s">
        <v>185</v>
      </c>
      <c r="B44" s="32">
        <v>0.97898250799999997</v>
      </c>
      <c r="C44" s="70">
        <f>IFERROR(VLOOKUP("Po-213",$A$4:$L$32,3)/$B44,0)</f>
        <v>0</v>
      </c>
      <c r="D44" s="71">
        <f>IFERROR(VLOOKUP("Po-213",$A$4:$L$32,4)/$B44,0)</f>
        <v>407412816.8127864</v>
      </c>
      <c r="E44" s="72">
        <f t="shared" si="52"/>
        <v>407412816.8127864</v>
      </c>
      <c r="F44" s="70">
        <f>IFERROR(VLOOKUP("Po-213",$A$4:$L$32,6)/$B44,0)</f>
        <v>0</v>
      </c>
      <c r="G44" s="71">
        <f>IFERROR(VLOOKUP("Po-213",$A$4:$L$32,7)/$B44,0)</f>
        <v>15074274.222073112</v>
      </c>
      <c r="H44" s="72">
        <f t="shared" si="54"/>
        <v>15074274.22207311</v>
      </c>
      <c r="I44" s="70">
        <f>IFERROR(VLOOKUP("Po-213",$A$4:$L$32,9)/$B44,0)</f>
        <v>0</v>
      </c>
      <c r="J44" s="71">
        <f>IFERROR(VLOOKUP("Po-213",$A$4:$L$32,10)/$B44,0)</f>
        <v>3.2360483782914854E-17</v>
      </c>
      <c r="K44" s="72">
        <f>IFERROR(VLOOKUP("Po-213",$A$4:$L$32,11)/$B44,0)</f>
        <v>3.2360483782914854E-17</v>
      </c>
    </row>
    <row r="45" spans="1:11">
      <c r="A45" s="31" t="s">
        <v>186</v>
      </c>
      <c r="B45" s="32">
        <v>2.0897492E-2</v>
      </c>
      <c r="C45" s="70">
        <f>IFERROR(VLOOKUP("Tl-209",$A$4:$L$32,3)/$B45,0)</f>
        <v>0</v>
      </c>
      <c r="D45" s="71">
        <f>IFERROR(VLOOKUP("Tl-209",$A$4:$L$32,4)/$B45,0)</f>
        <v>319971.5686695716</v>
      </c>
      <c r="E45" s="72">
        <f t="shared" si="52"/>
        <v>319971.5686695716</v>
      </c>
      <c r="F45" s="70">
        <f>IFERROR(VLOOKUP("Tl-209",$A$4:$L$32,6)/$B45,0)</f>
        <v>0</v>
      </c>
      <c r="G45" s="71">
        <f>IFERROR(VLOOKUP("Tl-209",$A$4:$L$32,7)/$B45,0)</f>
        <v>11838.948040774161</v>
      </c>
      <c r="H45" s="72">
        <f t="shared" si="54"/>
        <v>11838.948040774163</v>
      </c>
      <c r="I45" s="70">
        <f>IFERROR(VLOOKUP("Tl-209",$A$4:$L$32,9)/$B45,0)</f>
        <v>0</v>
      </c>
      <c r="J45" s="71">
        <f>IFERROR(VLOOKUP("Tl-209",$A$4:$L$32,10)/$B45,0)</f>
        <v>7.6986596128333296E-13</v>
      </c>
      <c r="K45" s="72">
        <f>IFERROR(VLOOKUP("Tl-209",$A$4:$L$32,11)/$B45,0)</f>
        <v>7.6986596128333306E-13</v>
      </c>
    </row>
    <row r="46" spans="1:11">
      <c r="A46" s="31" t="s">
        <v>187</v>
      </c>
      <c r="B46" s="32">
        <v>0.99987999999999999</v>
      </c>
      <c r="C46" s="70">
        <f>IFERROR(VLOOKUP("Pb-209",$A$4:$L$32,3)/$B46,0)</f>
        <v>14081.933138580969</v>
      </c>
      <c r="D46" s="71">
        <f>IFERROR(VLOOKUP("Pb-209",$A$4:$L$32,4)/$B46,0)</f>
        <v>6821153.9008979257</v>
      </c>
      <c r="E46" s="72">
        <f t="shared" si="52"/>
        <v>14052.921580569757</v>
      </c>
      <c r="F46" s="70">
        <f>IFERROR(VLOOKUP("Pb-209",$A$4:$L$32,6)/$B46,0)</f>
        <v>521.03152612749636</v>
      </c>
      <c r="G46" s="71">
        <f>IFERROR(VLOOKUP("Pb-209",$A$4:$L$32,7)/$B46,0)</f>
        <v>252382.69433322351</v>
      </c>
      <c r="H46" s="72">
        <f t="shared" si="54"/>
        <v>519.95809848108149</v>
      </c>
      <c r="I46" s="70">
        <f>IFERROR(VLOOKUP("Pb-209",$A$4:$L$32,9)/$B46,0)</f>
        <v>3.0601770408773085E-12</v>
      </c>
      <c r="J46" s="71">
        <f>IFERROR(VLOOKUP("Pb-209",$A$4:$L$32,10)/$B46,0)</f>
        <v>1.4823205276148598E-9</v>
      </c>
      <c r="K46" s="72">
        <f>IFERROR(VLOOKUP("Pb-209",$A$4:$L$32,11)/$B46,0)</f>
        <v>3.0538724729694582E-12</v>
      </c>
    </row>
    <row r="47" spans="1:11">
      <c r="A47" s="30" t="s">
        <v>17</v>
      </c>
      <c r="B47" s="30" t="s">
        <v>59</v>
      </c>
      <c r="C47" s="76">
        <f>IFERROR(1/SUM(1/C48),0)</f>
        <v>23.568368892109902</v>
      </c>
      <c r="D47" s="77">
        <f>IFERROR(1/SUM(1/D48,1/D49),0)</f>
        <v>26759.708038593049</v>
      </c>
      <c r="E47" s="78">
        <f>IFERROR(1/SUM(1/E48,1/E49),".")</f>
        <v>23.547629532078531</v>
      </c>
      <c r="F47" s="76">
        <f>IFERROR(1/SUM(1/F48),0)</f>
        <v>0.87202964900806712</v>
      </c>
      <c r="G47" s="77">
        <f>IFERROR(1/SUM(1/G48,1/G49),0)</f>
        <v>990.10919742794385</v>
      </c>
      <c r="H47" s="78">
        <f>IFERROR(1/SUM(1/H48,1/H49),".")</f>
        <v>0.87126229268690647</v>
      </c>
      <c r="I47" s="73">
        <f>IFERROR(C47*Isospec!$C$11*Isospec!$F$11*SSLcm_m,".")</f>
        <v>2.727355112863027E-10</v>
      </c>
      <c r="J47" s="74">
        <f>IFERROR(D47*Isospec!$C$11*Isospec!$F$11*SSLcm_m,".")</f>
        <v>3.0966600561913106E-7</v>
      </c>
      <c r="K47" s="75">
        <f>IFERROR(E47*Isospec!$C$11*Isospec!$F$11*SSLcm_m,".")</f>
        <v>2.7249551334720899E-10</v>
      </c>
    </row>
    <row r="48" spans="1:11">
      <c r="A48" s="31" t="s">
        <v>188</v>
      </c>
      <c r="B48" s="32">
        <v>1</v>
      </c>
      <c r="C48" s="70">
        <f>IFERROR(VLOOKUP("Cs-137",$A$4:$L$32,3)/$B48,0)</f>
        <v>23.568368892109902</v>
      </c>
      <c r="D48" s="71">
        <f>IFERROR(VLOOKUP("Cs-137",$A$4:$L$32,4)/$B48,0)</f>
        <v>7255675.9174785316</v>
      </c>
      <c r="E48" s="72">
        <f>IFERROR(IF(AND(C48&lt;&gt;0,D48&lt;&gt;0),(1/((1/C48)+(1/D48))),IF(AND(C48&lt;&gt;0,D48=0),(1/(1/C48)),IF(AND(C48=0,D48&lt;&gt;0),(1/(1/D48)),0))),0)</f>
        <v>23.568292336015851</v>
      </c>
      <c r="F48" s="70">
        <f>IFERROR(VLOOKUP("Cs-137",$A$4:$L$32,6)/$B48,0)</f>
        <v>0.87202964900806723</v>
      </c>
      <c r="G48" s="71">
        <f>IFERROR(VLOOKUP("Cs-137",$A$4:$L$32,7)/$B48,0)</f>
        <v>268460.00894670596</v>
      </c>
      <c r="H48" s="72">
        <f>IFERROR(IF(AND(F48&lt;&gt;0,G48&lt;&gt;0),(1/((1/F48)+(1/G48))),IF(AND(F48&lt;&gt;0,G48=0),(1/(1/F48)),IF(AND(F48=0,G48&lt;&gt;0),(1/(1/G48)),0))),0)</f>
        <v>0.87202681643258739</v>
      </c>
      <c r="I48" s="70">
        <f>IFERROR(VLOOKUP("Cs-137",$A$4:$L$32,9)/$B48,0)</f>
        <v>2.727355112863027E-10</v>
      </c>
      <c r="J48" s="71">
        <f>IFERROR(VLOOKUP("Cs-137",$A$4:$L$32,10)/$B48,0)</f>
        <v>8.3963404092155918E-5</v>
      </c>
      <c r="K48" s="72">
        <f>IFERROR(VLOOKUP("Cs-137",$A$4:$L$32,11)/$B48,0)</f>
        <v>2.7273462537156041E-10</v>
      </c>
    </row>
    <row r="49" spans="1:11">
      <c r="A49" s="31" t="s">
        <v>189</v>
      </c>
      <c r="B49" s="32">
        <v>0.94399</v>
      </c>
      <c r="C49" s="70">
        <f>IFERROR(VLOOKUP("Ba-137m",$A$4:$L$32,3)/$B49,0)</f>
        <v>0</v>
      </c>
      <c r="D49" s="71">
        <f>IFERROR(VLOOKUP("Ba-137m",$A$4:$L$32,4)/$B49,0)</f>
        <v>26858.766037546702</v>
      </c>
      <c r="E49" s="72">
        <f>IFERROR(IF(AND(C49&lt;&gt;0,D49&lt;&gt;0),(1/((1/C49)+(1/D49))),IF(AND(C49&lt;&gt;0,D49=0),(1/(1/C49)),IF(AND(C49=0,D49&lt;&gt;0),(1/(1/D49)),0))),0)</f>
        <v>26858.766037546702</v>
      </c>
      <c r="F49" s="70">
        <f>IFERROR(VLOOKUP("Ba-137m",$A$4:$L$32,6)/$B49,0)</f>
        <v>0</v>
      </c>
      <c r="G49" s="71">
        <f>IFERROR(VLOOKUP("Ba-137m",$A$4:$L$32,7)/$B49,0)</f>
        <v>993.77434338922899</v>
      </c>
      <c r="H49" s="72">
        <f>IFERROR(IF(AND(F49&lt;&gt;0,G49&lt;&gt;0),(1/((1/F49)+(1/G49))),IF(AND(F49&lt;&gt;0,G49=0),(1/(1/F49)),IF(AND(F49=0,G49&lt;&gt;0),(1/(1/G49)),0))),0)</f>
        <v>993.77434338922899</v>
      </c>
      <c r="I49" s="70">
        <f>IFERROR(VLOOKUP("Ba-137m",$A$4:$L$32,9)/$B49,0)</f>
        <v>0</v>
      </c>
      <c r="J49" s="71">
        <f>IFERROR(VLOOKUP("Ba-137m",$A$4:$L$32,10)/$B49,0)</f>
        <v>5.0025330684762679E-14</v>
      </c>
      <c r="K49" s="72">
        <f>IFERROR(VLOOKUP("Ba-137m",$A$4:$L$32,11)/$B49,0)</f>
        <v>5.0025330684762679E-14</v>
      </c>
    </row>
    <row r="50" spans="1:11">
      <c r="A50" s="30" t="s">
        <v>27</v>
      </c>
      <c r="B50" s="30" t="s">
        <v>59</v>
      </c>
      <c r="C50" s="76">
        <f>IFERROR(1/SUM(1/C51,1/C56,1/C57,1/C60,1/C61,1/C62),0)</f>
        <v>4.6405634340863984E-2</v>
      </c>
      <c r="D50" s="77">
        <f>IFERROR(1/SUM(1/D51,1/D52,1/D53,1/D56,1/D54,1/D57,1/D55,1/D58,1/D59,1/D60,1/D61,1/D63,1/D62,1/D64),0)</f>
        <v>8230.8441397019087</v>
      </c>
      <c r="E50" s="78">
        <f>IFERROR(1/SUM(1/E51,1/E52,1/E53,1/E56,1/E54,1/E57,1/E55,1/E58,1/E59,1/E60,1/E61,1/E63,1/E62,1/E64),0)</f>
        <v>4.6396982733908923E-2</v>
      </c>
      <c r="F50" s="76">
        <f>IFERROR(1/SUM(1/F51,1/F56,1/F57,1/F60,1/F61,1/F62),0)</f>
        <v>1.7170084706119694E-3</v>
      </c>
      <c r="G50" s="77">
        <f>IFERROR(1/SUM(1/G51,1/G52,1/G53,1/G56,1/G54,1/G57,1/G55,1/G58,1/G59,1/G60,1/G61,1/G63,1/G62,1/G64),0)</f>
        <v>304.54123316897102</v>
      </c>
      <c r="H50" s="78">
        <f>IFERROR(1/SUM(1/H51,1/H52,1/H53,1/H56,1/H54,1/H57,1/H55,1/H58,1/H59,1/H60,1/H61,1/H63,1/H62,1/H64),0)</f>
        <v>1.7166883611546323E-3</v>
      </c>
      <c r="I50" s="73">
        <f>IFERROR(C50*Isospec!$C$24*Isospec!$F$24*SSLcm_m,".")</f>
        <v>4.6984776657437968E-11</v>
      </c>
      <c r="J50" s="74">
        <f>IFERROR(D50*Isospec!$C$24*Isospec!$F$24*SSLcm_m,".")</f>
        <v>8.3335650745653897E-6</v>
      </c>
      <c r="K50" s="75">
        <f>IFERROR(E50*Isospec!$C$24*Isospec!$F$24*SSLcm_m,".")</f>
        <v>4.6976017078428106E-11</v>
      </c>
    </row>
    <row r="51" spans="1:11">
      <c r="A51" s="31" t="s">
        <v>190</v>
      </c>
      <c r="B51" s="32">
        <v>1</v>
      </c>
      <c r="C51" s="70">
        <f>IFERROR(VLOOKUP("Ra-226",$A$4:$L$32,3)/$B51,0)</f>
        <v>9.5417571145726493E-2</v>
      </c>
      <c r="D51" s="71">
        <f>IFERROR(VLOOKUP("Ra-226",$A$4:$L$32,4)/$B51,0)</f>
        <v>2193033.8785947971</v>
      </c>
      <c r="E51" s="72">
        <f t="shared" ref="E51:E64" si="55">IFERROR(IF(AND(C51&lt;&gt;0,D51&lt;&gt;0),(1/((1/C51)+(1/D51))),IF(AND(C51&lt;&gt;0,D51=0),(1/(1/C51)),IF(AND(C51=0,D51&lt;&gt;0),(1/(1/D51)),0))),0)</f>
        <v>9.5417566994166134E-2</v>
      </c>
      <c r="F51" s="70">
        <f>IFERROR(VLOOKUP("Ra-226",$A$4:$L$32,6)/$B51,0)</f>
        <v>3.530450132391884E-3</v>
      </c>
      <c r="G51" s="71">
        <f>IFERROR(VLOOKUP("Ra-226",$A$4:$L$32,7)/$B51,0)</f>
        <v>81142.253508007576</v>
      </c>
      <c r="H51" s="72">
        <f t="shared" ref="H51:H64" si="56">IFERROR(IF(AND(F51&lt;&gt;0,G51&lt;&gt;0),(1/((1/F51)+(1/G51))),IF(AND(F51&lt;&gt;0,G51=0),(1/(1/F51)),IF(AND(F51=0,G51&lt;&gt;0),(1/(1/G51)),0))),0)</f>
        <v>3.5304499787841511E-3</v>
      </c>
      <c r="I51" s="70">
        <f>IFERROR(VLOOKUP("Ra-226",$A$4:$L$32,9)/$B51,0)</f>
        <v>9.6608382433625163E-11</v>
      </c>
      <c r="J51" s="71">
        <f>IFERROR(VLOOKUP("Ra-226",$A$4:$L$32,10)/$B51,0)</f>
        <v>2.2204029413996603E-3</v>
      </c>
      <c r="K51" s="72">
        <f>IFERROR(VLOOKUP("Ra-226",$A$4:$L$32,11)/$B51,0)</f>
        <v>9.660837823025332E-11</v>
      </c>
    </row>
    <row r="52" spans="1:11">
      <c r="A52" s="31" t="s">
        <v>191</v>
      </c>
      <c r="B52" s="32">
        <v>1</v>
      </c>
      <c r="C52" s="70">
        <f>IFERROR(VLOOKUP("Rn-222",$A$4:$L$32,3)/$B52,0)</f>
        <v>555.17002081887574</v>
      </c>
      <c r="D52" s="71">
        <f>IFERROR(VLOOKUP("Rn-222",$A$4:$L$32,4)/$B52,0)</f>
        <v>39423903.8290741</v>
      </c>
      <c r="E52" s="72">
        <f t="shared" si="55"/>
        <v>555.16220298802045</v>
      </c>
      <c r="F52" s="70">
        <f>IFERROR(VLOOKUP("Rn-222",$A$4:$L$32,6)/$B52,0)</f>
        <v>20.541290770298424</v>
      </c>
      <c r="G52" s="71">
        <f>IFERROR(VLOOKUP("Rn-222",$A$4:$L$32,7)/$B52,0)</f>
        <v>1458684.4416757431</v>
      </c>
      <c r="H52" s="72">
        <f t="shared" si="56"/>
        <v>20.541001510556779</v>
      </c>
      <c r="I52" s="70">
        <f>IFERROR(VLOOKUP("Rn-222",$A$4:$L$32,9)/$B52,0)</f>
        <v>3.6149745325257818E-12</v>
      </c>
      <c r="J52" s="71">
        <f>IFERROR(VLOOKUP("Rn-222",$A$4:$L$32,10)/$B52,0)</f>
        <v>2.5670768047712093E-7</v>
      </c>
      <c r="K52" s="72">
        <f>IFERROR(VLOOKUP("Rn-222",$A$4:$L$32,11)/$B52,0)</f>
        <v>3.6149236269322129E-12</v>
      </c>
    </row>
    <row r="53" spans="1:11">
      <c r="A53" s="31" t="s">
        <v>192</v>
      </c>
      <c r="B53" s="32">
        <v>1</v>
      </c>
      <c r="C53" s="70">
        <f>IFERROR(VLOOKUP("Po-218",$A$4:$L$32,3)/$B53,0)</f>
        <v>477.21307563827253</v>
      </c>
      <c r="D53" s="71">
        <f>IFERROR(VLOOKUP("Po-218",$A$4:$L$32,4)/$B53,0)</f>
        <v>260318143604.19159</v>
      </c>
      <c r="E53" s="72">
        <f t="shared" si="55"/>
        <v>477.21307476344953</v>
      </c>
      <c r="F53" s="70">
        <f>IFERROR(VLOOKUP("Po-218",$A$4:$L$32,6)/$B53,0)</f>
        <v>17.6568837986161</v>
      </c>
      <c r="G53" s="71">
        <f>IFERROR(VLOOKUP("Po-218",$A$4:$L$32,7)/$B53,0)</f>
        <v>9631771313.3550987</v>
      </c>
      <c r="H53" s="72">
        <f t="shared" si="56"/>
        <v>17.656883766247645</v>
      </c>
      <c r="I53" s="70">
        <f>IFERROR(VLOOKUP("Po-218",$A$4:$L$32,9)/$B53,0)</f>
        <v>1.7180397074691073E-15</v>
      </c>
      <c r="J53" s="71">
        <f>IFERROR(VLOOKUP("Po-218",$A$4:$L$32,10)/$B53,0)</f>
        <v>9.3718493921916745E-7</v>
      </c>
      <c r="K53" s="72">
        <f>IFERROR(VLOOKUP("Po-218",$A$4:$L$32,11)/$B53,0)</f>
        <v>1.7180397043196117E-15</v>
      </c>
    </row>
    <row r="54" spans="1:11">
      <c r="A54" s="31" t="s">
        <v>194</v>
      </c>
      <c r="B54" s="32">
        <v>2.0000000000000001E-4</v>
      </c>
      <c r="C54" s="70">
        <f>IFERROR(VLOOKUP("At-218",$A$4:$L$32,3)/$B54,0)</f>
        <v>0</v>
      </c>
      <c r="D54" s="71">
        <f>IFERROR(VLOOKUP("At-218",$A$4:$L$32,4)/$B54,0)</f>
        <v>3479762940015.2139</v>
      </c>
      <c r="E54" s="72">
        <f>IFERROR(IF(AND(C54&lt;&gt;0,D54&lt;&gt;0),(1/((1/C54)+(1/D54))),IF(AND(C54&lt;&gt;0,D54=0),(1/(1/C54)),IF(AND(C54=0,D54&lt;&gt;0),(1/(1/D54)),0))),0)</f>
        <v>3479762940015.2139</v>
      </c>
      <c r="F54" s="70">
        <f>IFERROR(VLOOKUP("At-218",$A$4:$L$32,6)/$B54,0)</f>
        <v>0</v>
      </c>
      <c r="G54" s="71">
        <f>IFERROR(VLOOKUP("At-218",$A$4:$L$32,7)/$B54,0)</f>
        <v>128751228780.56303</v>
      </c>
      <c r="H54" s="72">
        <f>IFERROR(IF(AND(F54&lt;&gt;0,G54&lt;&gt;0),(1/((1/F54)+(1/G54))),IF(AND(F54&lt;&gt;0,G54=0),(1/(1/F54)),IF(AND(F54=0,G54&lt;&gt;0),(1/(1/G54)),0))),0)</f>
        <v>128751228780.56302</v>
      </c>
      <c r="I54" s="70">
        <f>IFERROR(VLOOKUP("At-218",$A$4:$L$32,9)/$B54,0)</f>
        <v>0</v>
      </c>
      <c r="J54" s="71">
        <f>IFERROR(VLOOKUP("At-218",$A$4:$L$32,10)/$B54,0)</f>
        <v>1.0102964700272507E-7</v>
      </c>
      <c r="K54" s="72">
        <f>IFERROR(VLOOKUP("At-218",$A$4:$L$32,11)/$B54,0)</f>
        <v>1.0102964700272507E-7</v>
      </c>
    </row>
    <row r="55" spans="1:11">
      <c r="A55" s="31" t="s">
        <v>196</v>
      </c>
      <c r="B55" s="32">
        <v>1.9999999999999999E-7</v>
      </c>
      <c r="C55" s="70">
        <f>IFERROR(VLOOKUP("Rn-218",$A$4:$L$32,3)/$B55,0)</f>
        <v>0</v>
      </c>
      <c r="D55" s="71">
        <f>IFERROR(VLOOKUP("Rn-218",$A$4:$L$32,4)/$B55,0)</f>
        <v>100299049447497.3</v>
      </c>
      <c r="E55" s="72">
        <f>IFERROR(IF(AND(C55&lt;&gt;0,D55&lt;&gt;0),(1/((1/C55)+(1/D55))),IF(AND(C55&lt;&gt;0,D55=0),(1/(1/C55)),IF(AND(C55=0,D55&lt;&gt;0),(1/(1/D55)),0))),0)</f>
        <v>100299049447497.3</v>
      </c>
      <c r="F55" s="70">
        <f>IFERROR(VLOOKUP("Rn-218",$A$4:$L$32,6)/$B55,0)</f>
        <v>0</v>
      </c>
      <c r="G55" s="71">
        <f>IFERROR(VLOOKUP("Rn-218",$A$4:$L$32,7)/$B55,0)</f>
        <v>3711064829557.4038</v>
      </c>
      <c r="H55" s="72">
        <f>IFERROR(IF(AND(F55&lt;&gt;0,G55&lt;&gt;0),(1/((1/F55)+(1/G55))),IF(AND(F55&lt;&gt;0,G55=0),(1/(1/F55)),IF(AND(F55=0,G55&lt;&gt;0),(1/(1/G55)),0))),0)</f>
        <v>3711064829557.4038</v>
      </c>
      <c r="I55" s="70">
        <f>IFERROR(VLOOKUP("Rn-218",$A$4:$L$32,9)/$B55,0)</f>
        <v>0</v>
      </c>
      <c r="J55" s="71">
        <f>IFERROR(VLOOKUP("Rn-218",$A$4:$L$32,10)/$B55,0)</f>
        <v>6.7947390043011438E-8</v>
      </c>
      <c r="K55" s="72">
        <f>IFERROR(VLOOKUP("Rn-218",$A$4:$L$32,11)/$B55,0)</f>
        <v>6.7947390043011438E-8</v>
      </c>
    </row>
    <row r="56" spans="1:11">
      <c r="A56" s="31" t="s">
        <v>193</v>
      </c>
      <c r="B56" s="32">
        <v>0.99980000000000002</v>
      </c>
      <c r="C56" s="70">
        <f>IFERROR(VLOOKUP("Pb-214",$A$4:$L$32,3)/$B56,0)</f>
        <v>78.049164261256465</v>
      </c>
      <c r="D56" s="71">
        <f>IFERROR(VLOOKUP("Pb-214",$A$4:$L$32,4)/$B56,0)</f>
        <v>61456.75407540804</v>
      </c>
      <c r="E56" s="72">
        <f t="shared" si="55"/>
        <v>77.950168705551931</v>
      </c>
      <c r="F56" s="70">
        <f>IFERROR(VLOOKUP("Pb-214",$A$4:$L$32,6)/$B56,0)</f>
        <v>2.8878190776664923</v>
      </c>
      <c r="G56" s="71">
        <f>IFERROR(VLOOKUP("Pb-214",$A$4:$L$32,7)/$B56,0)</f>
        <v>2273.8999007900998</v>
      </c>
      <c r="H56" s="72">
        <f t="shared" si="56"/>
        <v>2.8841562421054241</v>
      </c>
      <c r="I56" s="70">
        <f>IFERROR(VLOOKUP("Pb-214",$A$4:$L$32,9)/$B56,0)</f>
        <v>2.3846217413227385E-15</v>
      </c>
      <c r="J56" s="71">
        <f>IFERROR(VLOOKUP("Pb-214",$A$4:$L$32,10)/$B56,0)</f>
        <v>1.8776768887465288E-12</v>
      </c>
      <c r="K56" s="72">
        <f>IFERROR(VLOOKUP("Pb-214",$A$4:$L$32,11)/$B56,0)</f>
        <v>2.3815971483413557E-15</v>
      </c>
    </row>
    <row r="57" spans="1:11">
      <c r="A57" s="31" t="s">
        <v>195</v>
      </c>
      <c r="B57" s="32">
        <v>0.99999979999999999</v>
      </c>
      <c r="C57" s="70">
        <f>IFERROR(VLOOKUP("Bi-214",$A$4:$L$32,3)/$B57,0)</f>
        <v>99.354217585696972</v>
      </c>
      <c r="D57" s="71">
        <f>IFERROR(VLOOKUP("Bi-214",$A$4:$L$32,4)/$B57,0)</f>
        <v>9592.5973649749139</v>
      </c>
      <c r="E57" s="72">
        <f t="shared" si="55"/>
        <v>98.335716774175367</v>
      </c>
      <c r="F57" s="70">
        <f>IFERROR(VLOOKUP("Bi-214",$A$4:$L$32,6)/$B57,0)</f>
        <v>3.6761060506707919</v>
      </c>
      <c r="G57" s="71">
        <f>IFERROR(VLOOKUP("Bi-214",$A$4:$L$32,7)/$B57,0)</f>
        <v>354.92610250407216</v>
      </c>
      <c r="H57" s="72">
        <f t="shared" si="56"/>
        <v>3.6384215206444925</v>
      </c>
      <c r="I57" s="70">
        <f>IFERROR(VLOOKUP("Bi-214",$A$4:$L$32,9)/$B57,0)</f>
        <v>2.2540099673311646E-15</v>
      </c>
      <c r="J57" s="71">
        <f>IFERROR(VLOOKUP("Bi-214",$A$4:$L$32,10)/$B57,0)</f>
        <v>2.1762347486253865E-13</v>
      </c>
      <c r="K57" s="72">
        <f>IFERROR(VLOOKUP("Bi-214",$A$4:$L$32,11)/$B57,0)</f>
        <v>2.230903640929627E-15</v>
      </c>
    </row>
    <row r="58" spans="1:11">
      <c r="A58" s="31" t="s">
        <v>197</v>
      </c>
      <c r="B58" s="32">
        <v>0.99979000004200003</v>
      </c>
      <c r="C58" s="70">
        <f>IFERROR(VLOOKUP("Po-214",$A$4:$L$32,3)/$B58,0)</f>
        <v>0</v>
      </c>
      <c r="D58" s="71">
        <f>IFERROR(VLOOKUP("Po-214",$A$4:$L$32,4)/$B58,0)</f>
        <v>179520208.77392948</v>
      </c>
      <c r="E58" s="72">
        <f t="shared" si="55"/>
        <v>179520208.77392948</v>
      </c>
      <c r="F58" s="70">
        <f>IFERROR(VLOOKUP("Po-214",$A$4:$L$32,6)/$B58,0)</f>
        <v>0</v>
      </c>
      <c r="G58" s="71">
        <f>IFERROR(VLOOKUP("Po-214",$A$4:$L$32,7)/$B58,0)</f>
        <v>6642247.7246353971</v>
      </c>
      <c r="H58" s="72">
        <f t="shared" si="56"/>
        <v>6642247.7246353971</v>
      </c>
      <c r="I58" s="70">
        <f>IFERROR(VLOOKUP("Po-214",$A$4:$L$32,9)/$B58,0)</f>
        <v>0</v>
      </c>
      <c r="J58" s="71">
        <f>IFERROR(VLOOKUP("Po-214",$A$4:$L$32,10)/$B58,0)</f>
        <v>5.6042320030100995E-16</v>
      </c>
      <c r="K58" s="72">
        <f>IFERROR(VLOOKUP("Po-214",$A$4:$L$32,11)/$B58,0)</f>
        <v>5.6042320030100995E-16</v>
      </c>
    </row>
    <row r="59" spans="1:11">
      <c r="A59" s="31" t="s">
        <v>198</v>
      </c>
      <c r="B59" s="32">
        <v>2.0999995799999999E-4</v>
      </c>
      <c r="C59" s="70">
        <f>IFERROR(VLOOKUP("Tl-210",$A$4:$L$32,3)/$B59,0)</f>
        <v>0</v>
      </c>
      <c r="D59" s="71">
        <f>IFERROR(VLOOKUP("Tl-210",$A$4:$L$32,4)/$B59,0)</f>
        <v>24604389.34522786</v>
      </c>
      <c r="E59" s="72">
        <f t="shared" si="55"/>
        <v>24604389.34522786</v>
      </c>
      <c r="F59" s="70">
        <f>IFERROR(VLOOKUP("Tl-210",$A$4:$L$32,6)/$B59,0)</f>
        <v>0</v>
      </c>
      <c r="G59" s="71">
        <f>IFERROR(VLOOKUP("Tl-210",$A$4:$L$32,7)/$B59,0)</f>
        <v>910362.40577343176</v>
      </c>
      <c r="H59" s="72">
        <f t="shared" si="56"/>
        <v>910362.40577343164</v>
      </c>
      <c r="I59" s="70">
        <f>IFERROR(VLOOKUP("Tl-210",$A$4:$L$32,9)/$B59,0)</f>
        <v>0</v>
      </c>
      <c r="J59" s="71">
        <f>IFERROR(VLOOKUP("Tl-210",$A$4:$L$32,10)/$B59,0)</f>
        <v>3.5783095919885634E-11</v>
      </c>
      <c r="K59" s="72">
        <f>IFERROR(VLOOKUP("Tl-210",$A$4:$L$32,11)/$B59,0)</f>
        <v>3.5783095919885634E-11</v>
      </c>
    </row>
    <row r="60" spans="1:11">
      <c r="A60" s="31" t="s">
        <v>199</v>
      </c>
      <c r="B60" s="32">
        <v>1</v>
      </c>
      <c r="C60" s="70">
        <f>IFERROR(VLOOKUP("Pb-210",$A$4:$L$32,3)/$B60,0)</f>
        <v>0.16298523761210332</v>
      </c>
      <c r="D60" s="71">
        <f>IFERROR(VLOOKUP("Pb-210",$A$4:$L$32,4)/$B60,0)</f>
        <v>14480542.170763943</v>
      </c>
      <c r="E60" s="72">
        <f t="shared" si="55"/>
        <v>0.16298523577762869</v>
      </c>
      <c r="F60" s="70">
        <f>IFERROR(VLOOKUP("Pb-210",$A$4:$L$32,6)/$B60,0)</f>
        <v>6.0304537916478287E-3</v>
      </c>
      <c r="G60" s="71">
        <f>IFERROR(VLOOKUP("Pb-210",$A$4:$L$32,7)/$B60,0)</f>
        <v>535780.06031826639</v>
      </c>
      <c r="H60" s="72">
        <f t="shared" si="56"/>
        <v>6.0304537237722668E-3</v>
      </c>
      <c r="I60" s="70">
        <f>IFERROR(VLOOKUP("Pb-210",$A$4:$L$32,9)/$B60,0)</f>
        <v>2.1275440976933519E-12</v>
      </c>
      <c r="J60" s="71">
        <f>IFERROR(VLOOKUP("Pb-210",$A$4:$L$32,10)/$B60,0)</f>
        <v>1.8902320528028422E-4</v>
      </c>
      <c r="K60" s="72">
        <f>IFERROR(VLOOKUP("Pb-210",$A$4:$L$32,11)/$B60,0)</f>
        <v>2.1275440737468537E-12</v>
      </c>
    </row>
    <row r="61" spans="1:11">
      <c r="A61" s="31" t="s">
        <v>200</v>
      </c>
      <c r="B61" s="32">
        <v>1</v>
      </c>
      <c r="C61" s="70">
        <f>IFERROR(VLOOKUP("Bi-210",$A$4:$L$32,3)/$B61,0)</f>
        <v>6.7315135808286497</v>
      </c>
      <c r="D61" s="71">
        <f>IFERROR(VLOOKUP("Bi-210",$A$4:$L$32,4)/$B61,0)</f>
        <v>2643540.8381510922</v>
      </c>
      <c r="E61" s="72">
        <f t="shared" si="55"/>
        <v>6.7314964397430836</v>
      </c>
      <c r="F61" s="70">
        <f>IFERROR(VLOOKUP("Bi-210",$A$4:$L$32,6)/$B61,0)</f>
        <v>0.2490660024906603</v>
      </c>
      <c r="G61" s="71">
        <f>IFERROR(VLOOKUP("Bi-210",$A$4:$L$32,7)/$B61,0)</f>
        <v>97811.011011590512</v>
      </c>
      <c r="H61" s="72">
        <f t="shared" si="56"/>
        <v>0.24906536827049439</v>
      </c>
      <c r="I61" s="70">
        <f>IFERROR(VLOOKUP("Bi-210",$A$4:$L$32,9)/$B61,0)</f>
        <v>5.4361933198486056E-14</v>
      </c>
      <c r="J61" s="71">
        <f>IFERROR(VLOOKUP("Bi-210",$A$4:$L$32,10)/$B61,0)</f>
        <v>2.1348540521454175E-8</v>
      </c>
      <c r="K61" s="72">
        <f>IFERROR(VLOOKUP("Bi-210",$A$4:$L$32,11)/$B61,0)</f>
        <v>5.436179477158737E-14</v>
      </c>
    </row>
    <row r="62" spans="1:11">
      <c r="A62" s="31" t="s">
        <v>202</v>
      </c>
      <c r="B62" s="32">
        <v>1</v>
      </c>
      <c r="C62" s="70">
        <f>IFERROR(VLOOKUP("Po-210",$A$4:$L$32,3)/$B62,0)</f>
        <v>0.21000021000020996</v>
      </c>
      <c r="D62" s="71">
        <f>IFERROR(VLOOKUP("Po-210",$A$4:$L$32,4)/$B62,0)</f>
        <v>1532659632.006701</v>
      </c>
      <c r="E62" s="72">
        <f>IFERROR(IF(AND(C62&lt;&gt;0,D62&lt;&gt;0),(1/((1/C62)+(1/D62))),IF(AND(C62&lt;&gt;0,D62=0),(1/(1/C62)),IF(AND(C62=0,D62&lt;&gt;0),(1/(1/D62)),0))),0)</f>
        <v>0.21000020997143642</v>
      </c>
      <c r="F62" s="70">
        <f>IFERROR(VLOOKUP("Po-210",$A$4:$L$32,6)/$B62,0)</f>
        <v>7.7700077700077769E-3</v>
      </c>
      <c r="G62" s="71">
        <f>IFERROR(VLOOKUP("Po-210",$A$4:$L$32,7)/$B62,0)</f>
        <v>56708406.384247996</v>
      </c>
      <c r="H62" s="72">
        <f>IFERROR(IF(AND(F62&lt;&gt;0,G62&lt;&gt;0),(1/((1/F62)+(1/G62))),IF(AND(F62&lt;&gt;0,G62=0),(1/(1/F62)),IF(AND(F62=0,G62&lt;&gt;0),(1/(1/G62)),0))),0)</f>
        <v>7.7700077689431546E-3</v>
      </c>
      <c r="I62" s="70">
        <f>IFERROR(VLOOKUP("Po-210",$A$4:$L$32,9)/$B62,0)</f>
        <v>4.6812837169001135E-14</v>
      </c>
      <c r="J62" s="71">
        <f>IFERROR(VLOOKUP("Po-210",$A$4:$L$32,10)/$B62,0)</f>
        <v>3.4165749543088147E-4</v>
      </c>
      <c r="K62" s="72">
        <f>IFERROR(VLOOKUP("Po-210",$A$4:$L$32,11)/$B62,0)</f>
        <v>4.6812837162586995E-14</v>
      </c>
    </row>
    <row r="63" spans="1:11">
      <c r="A63" s="31" t="s">
        <v>201</v>
      </c>
      <c r="B63" s="34">
        <v>1.9000000000000001E-8</v>
      </c>
      <c r="C63" s="70">
        <f>IFERROR(VLOOKUP("Hg-206",$A$4:$L$32,3)/$B63,0)</f>
        <v>0</v>
      </c>
      <c r="D63" s="71">
        <f>IFERROR(VLOOKUP("Hg-206",$A$4:$L$32,4)/$B63,0)</f>
        <v>6456205379051.3232</v>
      </c>
      <c r="E63" s="72">
        <f t="shared" si="55"/>
        <v>6456205379051.3232</v>
      </c>
      <c r="F63" s="70">
        <f>IFERROR(VLOOKUP("Hg-206",$A$4:$L$32,6)/$B63,0)</f>
        <v>0</v>
      </c>
      <c r="G63" s="71">
        <f>IFERROR(VLOOKUP("Hg-206",$A$4:$L$32,7)/$B63,0)</f>
        <v>238879599024.89923</v>
      </c>
      <c r="H63" s="72">
        <f t="shared" si="56"/>
        <v>238879599024.8992</v>
      </c>
      <c r="I63" s="70">
        <f>IFERROR(VLOOKUP("Hg-206",$A$4:$L$32,9)/$B63,0)</f>
        <v>0</v>
      </c>
      <c r="J63" s="71">
        <f>IFERROR(VLOOKUP("Hg-206",$A$4:$L$32,10)/$B63,0)</f>
        <v>5.7743730956031542E-5</v>
      </c>
      <c r="K63" s="72">
        <f>IFERROR(VLOOKUP("Hg-206",$A$4:$L$32,11)/$B63,0)</f>
        <v>5.7743730956031542E-5</v>
      </c>
    </row>
    <row r="64" spans="1:11">
      <c r="A64" s="31" t="s">
        <v>203</v>
      </c>
      <c r="B64" s="32">
        <v>1.339E-6</v>
      </c>
      <c r="C64" s="70">
        <f>IFERROR(VLOOKUP("Tl-206",$A$4:$L$32,3)/$B64,0)</f>
        <v>0</v>
      </c>
      <c r="D64" s="71">
        <f>IFERROR(VLOOKUP("Tl-206",$A$4:$L$32,4)/$B64,0)</f>
        <v>1283023603544.4734</v>
      </c>
      <c r="E64" s="72">
        <f t="shared" si="55"/>
        <v>1283023603544.4734</v>
      </c>
      <c r="F64" s="70">
        <f>IFERROR(VLOOKUP("Tl-206",$A$4:$L$32,6)/$B64,0)</f>
        <v>0</v>
      </c>
      <c r="G64" s="71">
        <f>IFERROR(VLOOKUP("Tl-206",$A$4:$L$32,7)/$B64,0)</f>
        <v>47471873331.145569</v>
      </c>
      <c r="H64" s="72">
        <f t="shared" si="56"/>
        <v>47471873331.145569</v>
      </c>
      <c r="I64" s="70">
        <f>IFERROR(VLOOKUP("Tl-206",$A$4:$L$32,9)/$B64,0)</f>
        <v>0</v>
      </c>
      <c r="J64" s="71">
        <f>IFERROR(VLOOKUP("Tl-206",$A$4:$L$32,10)/$B64,0)</f>
        <v>5.9136256868392477E-6</v>
      </c>
      <c r="K64" s="72">
        <f>IFERROR(VLOOKUP("Tl-206",$A$4:$L$32,11)/$B64,0)</f>
        <v>5.9136256868392477E-6</v>
      </c>
    </row>
    <row r="65" spans="1:11">
      <c r="A65" s="30" t="s">
        <v>31</v>
      </c>
      <c r="B65" s="30" t="s">
        <v>59</v>
      </c>
      <c r="C65" s="76">
        <f>IFERROR(1/SUM(1/C66,1/C67,1/C70,1/C71,1/C74,1/C75,1/C76),0)</f>
        <v>9.0311767360992334E-2</v>
      </c>
      <c r="D65" s="77">
        <f>IFERROR(1/SUM(1/D66,1/D67,1/D68,1/D69,1/D70,1/D71,1/D72,1/D73,1/D74,1/D75,1/D76,1/D77),0)</f>
        <v>8261.852386403094</v>
      </c>
      <c r="E65" s="78">
        <f>IFERROR(1/SUM(1/E66,1/E67,1/E68,1/E69,1/E70,1/E71,1/E72,1/E73,1/E74,1/E75,1/E76,1/E77),0)</f>
        <v>9.0310780157906834E-2</v>
      </c>
      <c r="F65" s="76">
        <f>IFERROR(1/SUM(1/F66,1/F67,1/F70,1/F71,1/F74,1/F75,1/F76),0)</f>
        <v>3.3415353923567197E-3</v>
      </c>
      <c r="G65" s="77">
        <f>IFERROR(1/SUM(1/G66,1/G67,1/G68,1/G69,1/G70,1/G71,1/G72,1/G73,1/G74,1/G75,1/G76,1/G77),0)</f>
        <v>305.68853829691488</v>
      </c>
      <c r="H65" s="78">
        <f>IFERROR(1/SUM(1/H66,1/H67,1/H68,1/H69,1/H70,1/H71,1/H72,1/H73,1/H74,1/H75,1/H76,1/H77),0)</f>
        <v>3.3414988658425548E-3</v>
      </c>
      <c r="I65" s="73">
        <f>IFERROR(C65*Isospec!$C$26*Isospec!$F$26*SSLcm_m,".")</f>
        <v>5.8806262361903159E-16</v>
      </c>
      <c r="J65" s="74">
        <f>IFERROR(D65*Isospec!$C$26*Isospec!$F$26*SSLcm_m,".")</f>
        <v>5.3796827725462595E-11</v>
      </c>
      <c r="K65" s="75">
        <f>IFERROR(E65*Isospec!$C$26*Isospec!$F$26*SSLcm_m,".")</f>
        <v>5.8805619547291662E-16</v>
      </c>
    </row>
    <row r="66" spans="1:11">
      <c r="A66" s="31" t="s">
        <v>191</v>
      </c>
      <c r="B66" s="32">
        <v>1</v>
      </c>
      <c r="C66" s="70">
        <f>IFERROR(VLOOKUP("Rn-222",$A$4:$L$32,3)/$B66,0)</f>
        <v>555.17002081887574</v>
      </c>
      <c r="D66" s="71">
        <f>IFERROR(VLOOKUP("Rn-222",$A$4:$L$32,4)/$B66,0)</f>
        <v>39423903.8290741</v>
      </c>
      <c r="E66" s="72">
        <f t="shared" ref="E66:E67" si="57">IFERROR(IF(AND(C66&lt;&gt;0,D66&lt;&gt;0),(1/((1/C66)+(1/D66))),IF(AND(C66&lt;&gt;0,D66=0),(1/(1/C66)),IF(AND(C66=0,D66&lt;&gt;0),(1/(1/D66)),0))),0)</f>
        <v>555.16220298802045</v>
      </c>
      <c r="F66" s="70">
        <f>IFERROR(VLOOKUP("Rn-222",$A$4:$L$32,6)/$B66,0)</f>
        <v>20.541290770298424</v>
      </c>
      <c r="G66" s="71">
        <f>IFERROR(VLOOKUP("Rn-222",$A$4:$L$32,7)/$B66,0)</f>
        <v>1458684.4416757431</v>
      </c>
      <c r="H66" s="72">
        <f t="shared" ref="H66:H67" si="58">IFERROR(IF(AND(F66&lt;&gt;0,G66&lt;&gt;0),(1/((1/F66)+(1/G66))),IF(AND(F66&lt;&gt;0,G66=0),(1/(1/F66)),IF(AND(F66=0,G66&lt;&gt;0),(1/(1/G66)),0))),0)</f>
        <v>20.541001510556779</v>
      </c>
      <c r="I66" s="70">
        <f>IFERROR(VLOOKUP("Rn-222",$A$4:$L$32,9)/$B66,0)</f>
        <v>3.6149745325257818E-12</v>
      </c>
      <c r="J66" s="71">
        <f>IFERROR(VLOOKUP("Rn-222",$A$4:$L$32,10)/$B66,0)</f>
        <v>2.5670768047712093E-7</v>
      </c>
      <c r="K66" s="72">
        <f>IFERROR(VLOOKUP("Rn-222",$A$4:$L$32,11)/$B66,0)</f>
        <v>3.6149236269322129E-12</v>
      </c>
    </row>
    <row r="67" spans="1:11">
      <c r="A67" s="31" t="s">
        <v>192</v>
      </c>
      <c r="B67" s="32">
        <v>1</v>
      </c>
      <c r="C67" s="70">
        <f>IFERROR(VLOOKUP("Po-218",$A$4:$L$32,3)/$B67,0)</f>
        <v>477.21307563827253</v>
      </c>
      <c r="D67" s="71">
        <f>IFERROR(VLOOKUP("Po-218",$A$4:$L$32,4)/$B67,0)</f>
        <v>260318143604.19159</v>
      </c>
      <c r="E67" s="72">
        <f t="shared" si="57"/>
        <v>477.21307476344953</v>
      </c>
      <c r="F67" s="70">
        <f>IFERROR(VLOOKUP("Po-218",$A$4:$L$32,6)/$B67,0)</f>
        <v>17.6568837986161</v>
      </c>
      <c r="G67" s="71">
        <f>IFERROR(VLOOKUP("Po-218",$A$4:$L$32,7)/$B67,0)</f>
        <v>9631771313.3550987</v>
      </c>
      <c r="H67" s="72">
        <f t="shared" si="58"/>
        <v>17.656883766247645</v>
      </c>
      <c r="I67" s="70">
        <f>IFERROR(VLOOKUP("Po-218",$A$4:$L$32,9)/$B67,0)</f>
        <v>1.7180397074691073E-15</v>
      </c>
      <c r="J67" s="71">
        <f>IFERROR(VLOOKUP("Po-218",$A$4:$L$32,10)/$B67,0)</f>
        <v>9.3718493921916745E-7</v>
      </c>
      <c r="K67" s="72">
        <f>IFERROR(VLOOKUP("Po-218",$A$4:$L$32,11)/$B67,0)</f>
        <v>1.7180397043196117E-15</v>
      </c>
    </row>
    <row r="68" spans="1:11">
      <c r="A68" s="31" t="s">
        <v>194</v>
      </c>
      <c r="B68" s="32">
        <v>2.0000000000000001E-4</v>
      </c>
      <c r="C68" s="70">
        <f>IFERROR(VLOOKUP("At-218",$A$4:$L$32,3)/$B68,0)</f>
        <v>0</v>
      </c>
      <c r="D68" s="71">
        <f>IFERROR(VLOOKUP("At-218",$A$4:$L$32,4)/$B68,0)</f>
        <v>3479762940015.2139</v>
      </c>
      <c r="E68" s="72">
        <f>IFERROR(IF(AND(C68&lt;&gt;0,D68&lt;&gt;0),(1/((1/C68)+(1/D68))),IF(AND(C68&lt;&gt;0,D68=0),(1/(1/C68)),IF(AND(C68=0,D68&lt;&gt;0),(1/(1/D68)),0))),0)</f>
        <v>3479762940015.2139</v>
      </c>
      <c r="F68" s="70">
        <f>IFERROR(VLOOKUP("At-218",$A$4:$L$32,6)/$B68,0)</f>
        <v>0</v>
      </c>
      <c r="G68" s="71">
        <f>IFERROR(VLOOKUP("At-218",$A$4:$L$32,7)/$B68,0)</f>
        <v>128751228780.56303</v>
      </c>
      <c r="H68" s="72">
        <f>IFERROR(IF(AND(F68&lt;&gt;0,G68&lt;&gt;0),(1/((1/F68)+(1/G68))),IF(AND(F68&lt;&gt;0,G68=0),(1/(1/F68)),IF(AND(F68=0,G68&lt;&gt;0),(1/(1/G68)),0))),0)</f>
        <v>128751228780.56302</v>
      </c>
      <c r="I68" s="70">
        <f>IFERROR(VLOOKUP("At-218",$A$4:$L$32,9)/$B68,0)</f>
        <v>0</v>
      </c>
      <c r="J68" s="71">
        <f>IFERROR(VLOOKUP("At-218",$A$4:$L$32,10)/$B68,0)</f>
        <v>1.0102964700272507E-7</v>
      </c>
      <c r="K68" s="72">
        <f>IFERROR(VLOOKUP("At-218",$A$4:$L$32,11)/$B68,0)</f>
        <v>1.0102964700272507E-7</v>
      </c>
    </row>
    <row r="69" spans="1:11">
      <c r="A69" s="31" t="s">
        <v>196</v>
      </c>
      <c r="B69" s="32">
        <v>1.9999999999999999E-7</v>
      </c>
      <c r="C69" s="70">
        <f>IFERROR(VLOOKUP("Rn-218",$A$4:$L$32,3)/$B69,0)</f>
        <v>0</v>
      </c>
      <c r="D69" s="71">
        <f>IFERROR(VLOOKUP("Rn-218",$A$4:$L$32,4)/$B69,0)</f>
        <v>100299049447497.3</v>
      </c>
      <c r="E69" s="72">
        <f>IFERROR(IF(AND(C69&lt;&gt;0,D69&lt;&gt;0),(1/((1/C69)+(1/D69))),IF(AND(C69&lt;&gt;0,D69=0),(1/(1/C69)),IF(AND(C69=0,D69&lt;&gt;0),(1/(1/D69)),0))),0)</f>
        <v>100299049447497.3</v>
      </c>
      <c r="F69" s="70">
        <f>IFERROR(VLOOKUP("Rn-218",$A$4:$L$32,6)/$B69,0)</f>
        <v>0</v>
      </c>
      <c r="G69" s="71">
        <f>IFERROR(VLOOKUP("Rn-218",$A$4:$L$32,7)/$B69,0)</f>
        <v>3711064829557.4038</v>
      </c>
      <c r="H69" s="72">
        <f>IFERROR(IF(AND(F69&lt;&gt;0,G69&lt;&gt;0),(1/((1/F69)+(1/G69))),IF(AND(F69&lt;&gt;0,G69=0),(1/(1/F69)),IF(AND(F69=0,G69&lt;&gt;0),(1/(1/G69)),0))),0)</f>
        <v>3711064829557.4038</v>
      </c>
      <c r="I69" s="70">
        <f>IFERROR(VLOOKUP("Rn-218",$A$4:$L$32,9)/$B69,0)</f>
        <v>0</v>
      </c>
      <c r="J69" s="71">
        <f>IFERROR(VLOOKUP("Rn-218",$A$4:$L$32,10)/$B69,0)</f>
        <v>6.7947390043011438E-8</v>
      </c>
      <c r="K69" s="72">
        <f>IFERROR(VLOOKUP("Rn-218",$A$4:$L$32,11)/$B69,0)</f>
        <v>6.7947390043011438E-8</v>
      </c>
    </row>
    <row r="70" spans="1:11">
      <c r="A70" s="31" t="s">
        <v>193</v>
      </c>
      <c r="B70" s="32">
        <v>0.99980000000000002</v>
      </c>
      <c r="C70" s="70">
        <f>IFERROR(VLOOKUP("Pb-214",$A$4:$L$32,3)/$B70,0)</f>
        <v>78.049164261256465</v>
      </c>
      <c r="D70" s="71">
        <f>IFERROR(VLOOKUP("Pb-214",$A$4:$L$32,4)/$B70,0)</f>
        <v>61456.75407540804</v>
      </c>
      <c r="E70" s="72">
        <f t="shared" ref="E70:E75" si="59">IFERROR(IF(AND(C70&lt;&gt;0,D70&lt;&gt;0),(1/((1/C70)+(1/D70))),IF(AND(C70&lt;&gt;0,D70=0),(1/(1/C70)),IF(AND(C70=0,D70&lt;&gt;0),(1/(1/D70)),0))),0)</f>
        <v>77.950168705551931</v>
      </c>
      <c r="F70" s="70">
        <f>IFERROR(VLOOKUP("Pb-214",$A$4:$L$32,6)/$B70,0)</f>
        <v>2.8878190776664923</v>
      </c>
      <c r="G70" s="71">
        <f>IFERROR(VLOOKUP("Pb-214",$A$4:$L$32,7)/$B70,0)</f>
        <v>2273.8999007900998</v>
      </c>
      <c r="H70" s="72">
        <f t="shared" ref="H70:H75" si="60">IFERROR(IF(AND(F70&lt;&gt;0,G70&lt;&gt;0),(1/((1/F70)+(1/G70))),IF(AND(F70&lt;&gt;0,G70=0),(1/(1/F70)),IF(AND(F70=0,G70&lt;&gt;0),(1/(1/G70)),0))),0)</f>
        <v>2.8841562421054241</v>
      </c>
      <c r="I70" s="70">
        <f>IFERROR(VLOOKUP("Pb-214",$A$4:$L$32,9)/$B70,0)</f>
        <v>2.3846217413227385E-15</v>
      </c>
      <c r="J70" s="71">
        <f>IFERROR(VLOOKUP("Pb-214",$A$4:$L$32,10)/$B70,0)</f>
        <v>1.8776768887465288E-12</v>
      </c>
      <c r="K70" s="72">
        <f>IFERROR(VLOOKUP("Pb-214",$A$4:$L$32,11)/$B70,0)</f>
        <v>2.3815971483413557E-15</v>
      </c>
    </row>
    <row r="71" spans="1:11">
      <c r="A71" s="31" t="s">
        <v>195</v>
      </c>
      <c r="B71" s="32">
        <v>0.99999979999999999</v>
      </c>
      <c r="C71" s="70">
        <f>IFERROR(VLOOKUP("Bi-214",$A$4:$L$32,3)/$B71,0)</f>
        <v>99.354217585696972</v>
      </c>
      <c r="D71" s="71">
        <f>IFERROR(VLOOKUP("Bi-214",$A$4:$L$32,4)/$B71,0)</f>
        <v>9592.5973649749139</v>
      </c>
      <c r="E71" s="72">
        <f t="shared" si="59"/>
        <v>98.335716774175367</v>
      </c>
      <c r="F71" s="70">
        <f>IFERROR(VLOOKUP("Bi-214",$A$4:$L$32,6)/$B71,0)</f>
        <v>3.6761060506707919</v>
      </c>
      <c r="G71" s="71">
        <f>IFERROR(VLOOKUP("Bi-214",$A$4:$L$32,7)/$B71,0)</f>
        <v>354.92610250407216</v>
      </c>
      <c r="H71" s="72">
        <f t="shared" si="60"/>
        <v>3.6384215206444925</v>
      </c>
      <c r="I71" s="70">
        <f>IFERROR(VLOOKUP("Bi-214",$A$4:$L$32,9)/$B71,0)</f>
        <v>2.2540099673311646E-15</v>
      </c>
      <c r="J71" s="71">
        <f>IFERROR(VLOOKUP("Bi-214",$A$4:$L$32,10)/$B71,0)</f>
        <v>2.1762347486253865E-13</v>
      </c>
      <c r="K71" s="72">
        <f>IFERROR(VLOOKUP("Bi-214",$A$4:$L$32,11)/$B71,0)</f>
        <v>2.230903640929627E-15</v>
      </c>
    </row>
    <row r="72" spans="1:11">
      <c r="A72" s="31" t="s">
        <v>197</v>
      </c>
      <c r="B72" s="32">
        <v>0.99979000004200003</v>
      </c>
      <c r="C72" s="70">
        <f>IFERROR(VLOOKUP("Po-214",$A$4:$L$32,3)/$B72,0)</f>
        <v>0</v>
      </c>
      <c r="D72" s="71">
        <f>IFERROR(VLOOKUP("Po-214",$A$4:$L$32,4)/$B72,0)</f>
        <v>179520208.77392948</v>
      </c>
      <c r="E72" s="72">
        <f t="shared" si="59"/>
        <v>179520208.77392948</v>
      </c>
      <c r="F72" s="70">
        <f>IFERROR(VLOOKUP("Po-214",$A$4:$L$32,6)/$B72,0)</f>
        <v>0</v>
      </c>
      <c r="G72" s="71">
        <f>IFERROR(VLOOKUP("Po-214",$A$4:$L$32,7)/$B72,0)</f>
        <v>6642247.7246353971</v>
      </c>
      <c r="H72" s="72">
        <f t="shared" si="60"/>
        <v>6642247.7246353971</v>
      </c>
      <c r="I72" s="70">
        <f>IFERROR(VLOOKUP("Po-214",$A$4:$L$32,9)/$B72,0)</f>
        <v>0</v>
      </c>
      <c r="J72" s="71">
        <f>IFERROR(VLOOKUP("Po-214",$A$4:$L$32,10)/$B72,0)</f>
        <v>5.6042320030100995E-16</v>
      </c>
      <c r="K72" s="72">
        <f>IFERROR(VLOOKUP("Po-214",$A$4:$L$32,11)/$B72,0)</f>
        <v>5.6042320030100995E-16</v>
      </c>
    </row>
    <row r="73" spans="1:11">
      <c r="A73" s="31" t="s">
        <v>198</v>
      </c>
      <c r="B73" s="32">
        <v>2.0999995799999999E-4</v>
      </c>
      <c r="C73" s="70">
        <f>IFERROR(VLOOKUP("Tl-210",$A$4:$L$32,3)/$B73,0)</f>
        <v>0</v>
      </c>
      <c r="D73" s="71">
        <f>IFERROR(VLOOKUP("Tl-210",$A$4:$L$32,4)/$B73,0)</f>
        <v>24604389.34522786</v>
      </c>
      <c r="E73" s="72">
        <f t="shared" si="59"/>
        <v>24604389.34522786</v>
      </c>
      <c r="F73" s="70">
        <f>IFERROR(VLOOKUP("Tl-210",$A$4:$L$32,6)/$B73,0)</f>
        <v>0</v>
      </c>
      <c r="G73" s="71">
        <f>IFERROR(VLOOKUP("Tl-210",$A$4:$L$32,7)/$B73,0)</f>
        <v>910362.40577343176</v>
      </c>
      <c r="H73" s="72">
        <f t="shared" si="60"/>
        <v>910362.40577343164</v>
      </c>
      <c r="I73" s="70">
        <f>IFERROR(VLOOKUP("Tl-210",$A$4:$L$32,9)/$B73,0)</f>
        <v>0</v>
      </c>
      <c r="J73" s="71">
        <f>IFERROR(VLOOKUP("Tl-210",$A$4:$L$32,10)/$B73,0)</f>
        <v>3.5783095919885634E-11</v>
      </c>
      <c r="K73" s="72">
        <f>IFERROR(VLOOKUP("Tl-210",$A$4:$L$32,11)/$B73,0)</f>
        <v>3.5783095919885634E-11</v>
      </c>
    </row>
    <row r="74" spans="1:11">
      <c r="A74" s="31" t="s">
        <v>199</v>
      </c>
      <c r="B74" s="32">
        <v>1</v>
      </c>
      <c r="C74" s="70">
        <f>IFERROR(VLOOKUP("Pb-210",$A$4:$L$32,3)/$B74,0)</f>
        <v>0.16298523761210332</v>
      </c>
      <c r="D74" s="71">
        <f>IFERROR(VLOOKUP("Pb-210",$A$4:$L$32,4)/$B74,0)</f>
        <v>14480542.170763943</v>
      </c>
      <c r="E74" s="72">
        <f t="shared" si="59"/>
        <v>0.16298523577762869</v>
      </c>
      <c r="F74" s="70">
        <f>IFERROR(VLOOKUP("Pb-210",$A$4:$L$32,6)/$B74,0)</f>
        <v>6.0304537916478287E-3</v>
      </c>
      <c r="G74" s="71">
        <f>IFERROR(VLOOKUP("Pb-210",$A$4:$L$32,7)/$B74,0)</f>
        <v>535780.06031826639</v>
      </c>
      <c r="H74" s="72">
        <f t="shared" si="60"/>
        <v>6.0304537237722668E-3</v>
      </c>
      <c r="I74" s="70">
        <f>IFERROR(VLOOKUP("Pb-210",$A$4:$L$32,9)/$B74,0)</f>
        <v>2.1275440976933519E-12</v>
      </c>
      <c r="J74" s="71">
        <f>IFERROR(VLOOKUP("Pb-210",$A$4:$L$32,10)/$B74,0)</f>
        <v>1.8902320528028422E-4</v>
      </c>
      <c r="K74" s="72">
        <f>IFERROR(VLOOKUP("Pb-210",$A$4:$L$32,11)/$B74,0)</f>
        <v>2.1275440737468537E-12</v>
      </c>
    </row>
    <row r="75" spans="1:11">
      <c r="A75" s="31" t="s">
        <v>200</v>
      </c>
      <c r="B75" s="32">
        <v>1</v>
      </c>
      <c r="C75" s="70">
        <f>IFERROR(VLOOKUP("Bi-210",$A$4:$L$32,3)/$B75,0)</f>
        <v>6.7315135808286497</v>
      </c>
      <c r="D75" s="71">
        <f>IFERROR(VLOOKUP("Bi-210",$A$4:$L$32,4)/$B75,0)</f>
        <v>2643540.8381510922</v>
      </c>
      <c r="E75" s="72">
        <f t="shared" si="59"/>
        <v>6.7314964397430836</v>
      </c>
      <c r="F75" s="70">
        <f>IFERROR(VLOOKUP("Bi-210",$A$4:$L$32,6)/$B75,0)</f>
        <v>0.2490660024906603</v>
      </c>
      <c r="G75" s="71">
        <f>IFERROR(VLOOKUP("Bi-210",$A$4:$L$32,7)/$B75,0)</f>
        <v>97811.011011590512</v>
      </c>
      <c r="H75" s="72">
        <f t="shared" si="60"/>
        <v>0.24906536827049439</v>
      </c>
      <c r="I75" s="70">
        <f>IFERROR(VLOOKUP("Bi-210",$A$4:$L$32,9)/$B75,0)</f>
        <v>5.4361933198486056E-14</v>
      </c>
      <c r="J75" s="71">
        <f>IFERROR(VLOOKUP("Bi-210",$A$4:$L$32,10)/$B75,0)</f>
        <v>2.1348540521454175E-8</v>
      </c>
      <c r="K75" s="72">
        <f>IFERROR(VLOOKUP("Bi-210",$A$4:$L$32,11)/$B75,0)</f>
        <v>5.436179477158737E-14</v>
      </c>
    </row>
    <row r="76" spans="1:11">
      <c r="A76" s="31" t="s">
        <v>202</v>
      </c>
      <c r="B76" s="32">
        <v>1</v>
      </c>
      <c r="C76" s="70">
        <f>IFERROR(VLOOKUP("Po-210",$A$4:$L$32,3)/$B76,0)</f>
        <v>0.21000021000020996</v>
      </c>
      <c r="D76" s="71">
        <f>IFERROR(VLOOKUP("Po-210",$A$4:$L$32,4)/$B76,0)</f>
        <v>1532659632.006701</v>
      </c>
      <c r="E76" s="72">
        <f>IFERROR(IF(AND(C76&lt;&gt;0,D76&lt;&gt;0),(1/((1/C76)+(1/D76))),IF(AND(C76&lt;&gt;0,D76=0),(1/(1/C76)),IF(AND(C76=0,D76&lt;&gt;0),(1/(1/D76)),0))),0)</f>
        <v>0.21000020997143642</v>
      </c>
      <c r="F76" s="70">
        <f>IFERROR(VLOOKUP("Po-210",$A$4:$L$32,6)/$B76,0)</f>
        <v>7.7700077700077769E-3</v>
      </c>
      <c r="G76" s="71">
        <f>IFERROR(VLOOKUP("Po-210",$A$4:$L$32,7)/$B76,0)</f>
        <v>56708406.384247996</v>
      </c>
      <c r="H76" s="72">
        <f>IFERROR(IF(AND(F76&lt;&gt;0,G76&lt;&gt;0),(1/((1/F76)+(1/G76))),IF(AND(F76&lt;&gt;0,G76=0),(1/(1/F76)),IF(AND(F76=0,G76&lt;&gt;0),(1/(1/G76)),0))),0)</f>
        <v>7.7700077689431546E-3</v>
      </c>
      <c r="I76" s="70">
        <f>IFERROR(VLOOKUP("Po-210",$A$4:$L$32,9)/$B76,0)</f>
        <v>4.6812837169001135E-14</v>
      </c>
      <c r="J76" s="71">
        <f>IFERROR(VLOOKUP("Po-210",$A$4:$L$32,10)/$B76,0)</f>
        <v>3.4165749543088147E-4</v>
      </c>
      <c r="K76" s="72">
        <f>IFERROR(VLOOKUP("Po-210",$A$4:$L$32,11)/$B76,0)</f>
        <v>4.6812837162586995E-14</v>
      </c>
    </row>
    <row r="77" spans="1:11">
      <c r="A77" s="31" t="s">
        <v>201</v>
      </c>
      <c r="B77" s="34">
        <v>1.9000000000000001E-8</v>
      </c>
      <c r="C77" s="70">
        <f>IFERROR(VLOOKUP("Hg-206",$A$4:$L$32,3)/$B77,0)</f>
        <v>0</v>
      </c>
      <c r="D77" s="71">
        <f>IFERROR(VLOOKUP("Hg-206",$A$4:$L$32,4)/$B77,0)</f>
        <v>6456205379051.3232</v>
      </c>
      <c r="E77" s="72">
        <f t="shared" ref="E77:E78" si="61">IFERROR(IF(AND(C77&lt;&gt;0,D77&lt;&gt;0),(1/((1/C77)+(1/D77))),IF(AND(C77&lt;&gt;0,D77=0),(1/(1/C77)),IF(AND(C77=0,D77&lt;&gt;0),(1/(1/D77)),0))),0)</f>
        <v>6456205379051.3232</v>
      </c>
      <c r="F77" s="70">
        <f>IFERROR(VLOOKUP("Hg-206",$A$4:$L$32,6)/$B77,0)</f>
        <v>0</v>
      </c>
      <c r="G77" s="71">
        <f>IFERROR(VLOOKUP("Hg-206",$A$4:$L$32,7)/$B77,0)</f>
        <v>238879599024.89923</v>
      </c>
      <c r="H77" s="72">
        <f t="shared" ref="H77:H78" si="62">IFERROR(IF(AND(F77&lt;&gt;0,G77&lt;&gt;0),(1/((1/F77)+(1/G77))),IF(AND(F77&lt;&gt;0,G77=0),(1/(1/F77)),IF(AND(F77=0,G77&lt;&gt;0),(1/(1/G77)),0))),0)</f>
        <v>238879599024.8992</v>
      </c>
      <c r="I77" s="70">
        <f>IFERROR(VLOOKUP("Hg-206",$A$4:$L$32,9)/$B77,0)</f>
        <v>0</v>
      </c>
      <c r="J77" s="71">
        <f>IFERROR(VLOOKUP("Hg-206",$A$4:$L$32,10)/$B77,0)</f>
        <v>5.7743730956031542E-5</v>
      </c>
      <c r="K77" s="72">
        <f>IFERROR(VLOOKUP("Hg-206",$A$4:$L$32,11)/$B77,0)</f>
        <v>5.7743730956031542E-5</v>
      </c>
    </row>
    <row r="78" spans="1:11">
      <c r="A78" s="31" t="s">
        <v>203</v>
      </c>
      <c r="B78" s="32">
        <v>1.339E-6</v>
      </c>
      <c r="C78" s="70">
        <f>IFERROR(VLOOKUP("Tl-206",$A$4:$L$32,3)/$B78,0)</f>
        <v>0</v>
      </c>
      <c r="D78" s="71">
        <f>IFERROR(VLOOKUP("Tl-206",$A$4:$L$32,4)/$B78,0)</f>
        <v>1283023603544.4734</v>
      </c>
      <c r="E78" s="72">
        <f t="shared" si="61"/>
        <v>1283023603544.4734</v>
      </c>
      <c r="F78" s="70">
        <f>IFERROR(VLOOKUP("Tl-206",$A$4:$L$32,6)/$B78,0)</f>
        <v>0</v>
      </c>
      <c r="G78" s="71">
        <f>IFERROR(VLOOKUP("Tl-206",$A$4:$L$32,7)/$B78,0)</f>
        <v>47471873331.145569</v>
      </c>
      <c r="H78" s="72">
        <f t="shared" si="62"/>
        <v>47471873331.145569</v>
      </c>
      <c r="I78" s="70">
        <f>IFERROR(VLOOKUP("Tl-206",$A$4:$L$32,9)/$B78,0)</f>
        <v>0</v>
      </c>
      <c r="J78" s="71">
        <f>IFERROR(VLOOKUP("Tl-206",$A$4:$L$32,10)/$B78,0)</f>
        <v>5.9136256868392477E-6</v>
      </c>
      <c r="K78" s="72">
        <f>IFERROR(VLOOKUP("Tl-206",$A$4:$L$32,11)/$B78,0)</f>
        <v>5.9136256868392477E-6</v>
      </c>
    </row>
  </sheetData>
  <sheetProtection algorithmName="SHA-512" hashValue="HPX8tkbSLhKFtk3/3knOdskTiMXdQDjBXXf6wa5TemZ7lFRGKVRpeAqxRbmMdW+vP43L9dM9W+mJt49ga3veHw==" saltValue="iPKOj3Flz4uWNZX68dJyqw==" spinCount="100000" sheet="1" formatCells="0" formatColumns="0" formatRows="0" insertColumns="0" insertRows="0" autoFilter="0"/>
  <autoFilter ref="A2:K78" xr:uid="{00000000-0009-0000-0000-00000F000000}"/>
  <mergeCells count="3">
    <mergeCell ref="C1:E1"/>
    <mergeCell ref="F1:H1"/>
    <mergeCell ref="I1:K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42578125" style="22" bestFit="1" customWidth="1"/>
    <col min="4" max="4" width="15.7109375" style="22" bestFit="1" customWidth="1"/>
    <col min="5" max="6" width="16.42578125" style="22" bestFit="1" customWidth="1"/>
    <col min="7" max="7" width="17.42578125" style="22" bestFit="1" customWidth="1"/>
    <col min="8" max="8" width="15.42578125" style="22" bestFit="1" customWidth="1"/>
    <col min="9" max="9" width="15.7109375" style="22" bestFit="1" customWidth="1"/>
    <col min="10" max="11" width="16.42578125" style="22" bestFit="1" customWidth="1"/>
    <col min="12" max="12" width="17.42578125" style="22" bestFit="1" customWidth="1"/>
    <col min="13" max="13" width="15.42578125" style="22" bestFit="1" customWidth="1"/>
    <col min="14" max="14" width="15.7109375" style="22" bestFit="1" customWidth="1"/>
    <col min="15" max="16" width="16.42578125" style="22" bestFit="1" customWidth="1"/>
    <col min="17" max="17" width="17.42578125" style="22" bestFit="1" customWidth="1"/>
    <col min="18" max="18" width="11.28515625" bestFit="1" customWidth="1"/>
  </cols>
  <sheetData>
    <row r="1" spans="1:18" ht="13.5" thickBot="1">
      <c r="C1" s="148" t="s">
        <v>61</v>
      </c>
      <c r="D1" s="149"/>
      <c r="E1" s="149"/>
      <c r="F1" s="149"/>
      <c r="G1" s="150"/>
      <c r="H1" s="148" t="s">
        <v>138</v>
      </c>
      <c r="I1" s="149"/>
      <c r="J1" s="149"/>
      <c r="K1" s="149"/>
      <c r="L1" s="150"/>
      <c r="M1" s="148" t="s">
        <v>139</v>
      </c>
      <c r="N1" s="149"/>
      <c r="O1" s="149"/>
      <c r="P1" s="149"/>
      <c r="Q1" s="150"/>
      <c r="R1" s="65" t="s">
        <v>252</v>
      </c>
    </row>
    <row r="2" spans="1:18">
      <c r="A2" s="11" t="s">
        <v>0</v>
      </c>
      <c r="B2" s="11" t="s">
        <v>43</v>
      </c>
      <c r="C2" s="23" t="s">
        <v>154</v>
      </c>
      <c r="D2" s="24" t="s">
        <v>155</v>
      </c>
      <c r="E2" s="24" t="s">
        <v>156</v>
      </c>
      <c r="F2" s="24" t="s">
        <v>157</v>
      </c>
      <c r="G2" s="25" t="s">
        <v>158</v>
      </c>
      <c r="H2" s="23" t="s">
        <v>154</v>
      </c>
      <c r="I2" s="24" t="s">
        <v>155</v>
      </c>
      <c r="J2" s="24" t="s">
        <v>156</v>
      </c>
      <c r="K2" s="24" t="s">
        <v>157</v>
      </c>
      <c r="L2" s="25" t="s">
        <v>158</v>
      </c>
      <c r="M2" s="23" t="s">
        <v>154</v>
      </c>
      <c r="N2" s="24" t="s">
        <v>155</v>
      </c>
      <c r="O2" s="24" t="s">
        <v>156</v>
      </c>
      <c r="P2" s="24" t="s">
        <v>157</v>
      </c>
      <c r="Q2" s="25" t="s">
        <v>158</v>
      </c>
      <c r="R2" s="66" t="s">
        <v>137</v>
      </c>
    </row>
    <row r="3" spans="1:18" ht="13.5" thickBot="1">
      <c r="B3" s="26" t="s">
        <v>44</v>
      </c>
      <c r="C3" s="27" t="s">
        <v>151</v>
      </c>
      <c r="D3" s="28" t="s">
        <v>140</v>
      </c>
      <c r="E3" s="28" t="s">
        <v>151</v>
      </c>
      <c r="F3" s="28" t="s">
        <v>151</v>
      </c>
      <c r="G3" s="29" t="s">
        <v>151</v>
      </c>
      <c r="H3" s="27" t="s">
        <v>152</v>
      </c>
      <c r="I3" s="28" t="s">
        <v>153</v>
      </c>
      <c r="J3" s="28" t="s">
        <v>152</v>
      </c>
      <c r="K3" s="28" t="s">
        <v>152</v>
      </c>
      <c r="L3" s="29" t="s">
        <v>152</v>
      </c>
      <c r="M3" s="27" t="s">
        <v>239</v>
      </c>
      <c r="N3" s="28" t="s">
        <v>142</v>
      </c>
      <c r="O3" s="28" t="s">
        <v>239</v>
      </c>
      <c r="P3" s="28" t="s">
        <v>239</v>
      </c>
      <c r="Q3" s="29" t="s">
        <v>239</v>
      </c>
      <c r="R3" s="79" t="s">
        <v>253</v>
      </c>
    </row>
    <row r="4" spans="1:18">
      <c r="A4" s="87" t="s">
        <v>23</v>
      </c>
      <c r="B4" s="12" t="s">
        <v>59</v>
      </c>
      <c r="C4" s="2">
        <f>IFERROR((s_DL)/(Doses!I2*s_GSFb*s_Fin*s_Fi*s_Fam*s_Foff*Isospec!M3*s_ETiw*(1/24)*s_EFiw*(1/365)),".")</f>
        <v>1571.6437969557437</v>
      </c>
      <c r="D4" s="3">
        <f>IFERROR((s_DL)/(Doses!L2*s_GSFb*s_Fin*s_Fi*s_Fam*s_Foff*Isospec!L3*s_ETiw*(1/24)*s_EFiw*(1/365)),".")</f>
        <v>1708.2492632561168</v>
      </c>
      <c r="E4" s="3">
        <f>IFERROR((s_DL)/(Doses!M2*s_GSFb*s_Fin*s_Fi*s_Fam*s_Foff*Isospec!N3*s_ETiw*(1/24)*s_EFiw*(1/365)),".")</f>
        <v>3003.2421710717972</v>
      </c>
      <c r="F4" s="3">
        <f>IFERROR((s_DL)/(Doses!N2*s_GSFb*s_Fin*s_Fi*s_Fam*s_Foff*Isospec!O3*s_ETiw*(1/24)*s_EFiw*(1/365)),".")</f>
        <v>1097.5648303736307</v>
      </c>
      <c r="G4" s="5">
        <f>IFERROR((s_DL)/(Doses!O2*s_GSFb*s_Fin*s_Fi*s_Fam*s_Foff*Isospec!P3*s_ETiw*(1/24)*s_EFiw*(1/365)),".")</f>
        <v>963.9931858300157</v>
      </c>
      <c r="H4" s="2">
        <f t="shared" ref="H4:L4" si="0">IFERROR(C4/_1_bq,".")</f>
        <v>58.150820487362573</v>
      </c>
      <c r="I4" s="3">
        <f t="shared" si="0"/>
        <v>63.205222740476387</v>
      </c>
      <c r="J4" s="3">
        <f t="shared" si="0"/>
        <v>111.11996032965661</v>
      </c>
      <c r="K4" s="3">
        <f t="shared" si="0"/>
        <v>40.609898723824379</v>
      </c>
      <c r="L4" s="5">
        <f t="shared" si="0"/>
        <v>35.667747875710617</v>
      </c>
      <c r="M4" s="2">
        <f>IFERROR(C4*Isospec!C3*Isospec!F3*SSLgram,".")</f>
        <v>2.7127002522798158E-8</v>
      </c>
      <c r="N4" s="3">
        <f>IFERROR(D4*Isospec!C3*Isospec!F3*SSLcm_m,".")</f>
        <v>2.9484850297297791E-11</v>
      </c>
      <c r="O4" s="3">
        <f>IFERROR(E4*Isospec!C3*Isospec!F3*SSLgram,".")</f>
        <v>5.1836782678774233E-8</v>
      </c>
      <c r="P4" s="3">
        <f>IFERROR(F4*Isospec!C3*Isospec!F3*SSLgram,".")</f>
        <v>1.8944269674942392E-8</v>
      </c>
      <c r="Q4" s="5">
        <f>IFERROR(G4*Isospec!C3*Isospec!F3*SSLgram,".")</f>
        <v>1.6638786495148457E-8</v>
      </c>
      <c r="R4" s="67">
        <f>IF(D4&lt;&gt;".",D4*2.22*100,".")</f>
        <v>379231.33644285792</v>
      </c>
    </row>
    <row r="5" spans="1:18">
      <c r="A5" s="88" t="s">
        <v>14</v>
      </c>
      <c r="B5" s="12" t="s">
        <v>44</v>
      </c>
      <c r="C5" s="2">
        <f>IFERROR((s_DL)/(Doses!I3*s_GSFb*s_Fin*s_Fi*s_Fam*s_Foff*Isospec!M4*s_ETiw*(1/24)*s_EFiw*(1/365)),".")</f>
        <v>1143.4103408650321</v>
      </c>
      <c r="D5" s="3">
        <f>IFERROR((s_DL)/(Doses!L3*s_GSFb*s_Fin*s_Fi*s_Fam*s_Foff*Isospec!L4*s_ETiw*(1/24)*s_EFiw*(1/365)),".")</f>
        <v>734.68489855786186</v>
      </c>
      <c r="E5" s="3">
        <f>IFERROR((s_DL)/(Doses!M3*s_GSFb*s_Fin*s_Fi*s_Fam*s_Foff*Isospec!N4*s_ETiw*(1/24)*s_EFiw*(1/365)),".")</f>
        <v>992.98587441096777</v>
      </c>
      <c r="F5" s="3">
        <f>IFERROR((s_DL)/(Doses!N3*s_GSFb*s_Fin*s_Fi*s_Fam*s_Foff*Isospec!O4*s_ETiw*(1/24)*s_EFiw*(1/365)),".")</f>
        <v>583.78405750967011</v>
      </c>
      <c r="G5" s="5">
        <f>IFERROR((s_DL)/(Doses!O3*s_GSFb*s_Fin*s_Fi*s_Fam*s_Foff*Isospec!P4*s_ETiw*(1/24)*s_EFiw*(1/365)),".")</f>
        <v>846.03823581223935</v>
      </c>
      <c r="H5" s="2">
        <f t="shared" ref="H5:L7" si="1">IFERROR(C5/_1_bq,".")</f>
        <v>42.306182612006232</v>
      </c>
      <c r="I5" s="3">
        <f t="shared" si="1"/>
        <v>27.183341246640918</v>
      </c>
      <c r="J5" s="3">
        <f t="shared" si="1"/>
        <v>36.740477353205847</v>
      </c>
      <c r="K5" s="3">
        <f t="shared" si="1"/>
        <v>21.600010127857814</v>
      </c>
      <c r="L5" s="5">
        <f t="shared" si="1"/>
        <v>31.303414725052889</v>
      </c>
      <c r="M5" s="2">
        <f>IFERROR(C5*Isospec!C4*Isospec!F4*SSLgram,".")</f>
        <v>3.334739794023957E-4</v>
      </c>
      <c r="N5" s="3">
        <f>IFERROR(D5*Isospec!C4*Isospec!F4*SSLcm_m,".")</f>
        <v>2.1426979271814649E-7</v>
      </c>
      <c r="O5" s="3">
        <f>IFERROR(E5*Isospec!C4*Isospec!F4*SSLgram,".")</f>
        <v>2.8960290037229958E-4</v>
      </c>
      <c r="P5" s="3">
        <f>IFERROR(F5*Isospec!C4*Isospec!F4*SSLgram,".")</f>
        <v>1.7025977972365245E-4</v>
      </c>
      <c r="Q5" s="5">
        <f>IFERROR(G5*Isospec!C4*Isospec!F4*SSLgram,".")</f>
        <v>2.4674583317958E-4</v>
      </c>
      <c r="R5" s="67">
        <f t="shared" ref="R5" si="2">IF(D5&lt;&gt;".",D5*2.22*100,".")</f>
        <v>163100.04747984535</v>
      </c>
    </row>
    <row r="6" spans="1:18">
      <c r="A6" s="87" t="s">
        <v>15</v>
      </c>
      <c r="B6" s="12" t="s">
        <v>59</v>
      </c>
      <c r="C6" s="2">
        <f>IFERROR((s_DL)/(Doses!I4*s_GSFb*s_Fin*s_Fi*s_Fam*s_Foff*Isospec!M5*s_ETiw*(1/24)*s_EFiw*(1/365)),".")</f>
        <v>13229471.20473511</v>
      </c>
      <c r="D6" s="3">
        <f>IFERROR((s_DL)/(Doses!L4*s_GSFb*s_Fin*s_Fi*s_Fam*s_Foff*Isospec!L5*s_ETiw*(1/24)*s_EFiw*(1/365)),".")</f>
        <v>50570491.360663973</v>
      </c>
      <c r="E6" s="3">
        <f>IFERROR((s_DL)/(Doses!M4*s_GSFb*s_Fin*s_Fi*s_Fam*s_Foff*Isospec!N5*s_ETiw*(1/24)*s_EFiw*(1/365)),".")</f>
        <v>47190570.689741537</v>
      </c>
      <c r="F6" s="3">
        <f>IFERROR((s_DL)/(Doses!N4*s_GSFb*s_Fin*s_Fi*s_Fam*s_Foff*Isospec!O5*s_ETiw*(1/24)*s_EFiw*(1/365)),".")</f>
        <v>17719571.028549541</v>
      </c>
      <c r="G6" s="5">
        <f>IFERROR((s_DL)/(Doses!O4*s_GSFb*s_Fin*s_Fi*s_Fam*s_Foff*Isospec!P5*s_ETiw*(1/24)*s_EFiw*(1/365)),".")</f>
        <v>13383957.203063864</v>
      </c>
      <c r="H6" s="2">
        <f t="shared" si="1"/>
        <v>489490.43457519956</v>
      </c>
      <c r="I6" s="3">
        <f t="shared" si="1"/>
        <v>1871108.1803445688</v>
      </c>
      <c r="J6" s="3">
        <f t="shared" si="1"/>
        <v>1746051.1155204386</v>
      </c>
      <c r="K6" s="3">
        <f t="shared" si="1"/>
        <v>655624.12805633363</v>
      </c>
      <c r="L6" s="5">
        <f t="shared" si="1"/>
        <v>495206.41651336348</v>
      </c>
      <c r="M6" s="2">
        <f>IFERROR(C6*Isospec!C5*Isospec!F5*SSLgram,".")</f>
        <v>8.2329630434774788E-12</v>
      </c>
      <c r="N6" s="3">
        <f>IFERROR(D6*Isospec!C5*Isospec!F5*SSLcm_m,".")</f>
        <v>3.1471022538967759E-14</v>
      </c>
      <c r="O6" s="3">
        <f>IFERROR(E6*Isospec!C5*Isospec!F5*SSLgram,".")</f>
        <v>2.9367630684300865E-11</v>
      </c>
      <c r="P6" s="3">
        <f>IFERROR(F6*Isospec!C5*Isospec!F5*SSLgram,".")</f>
        <v>1.1027241464655624E-11</v>
      </c>
      <c r="Q6" s="5">
        <f>IFERROR(G6*Isospec!C5*Isospec!F5*SSLgram,".")</f>
        <v>8.3291027527139385E-12</v>
      </c>
      <c r="R6" s="67">
        <f t="shared" ref="R6:R8" si="3">IF(D6&lt;&gt;".",D6*2.22*100,".")</f>
        <v>11226649082.067404</v>
      </c>
    </row>
    <row r="7" spans="1:18">
      <c r="A7" s="87" t="s">
        <v>16</v>
      </c>
      <c r="B7" s="89" t="s">
        <v>59</v>
      </c>
      <c r="C7" s="2" t="str">
        <f>IFERROR((s_DL)/(Doses!I5*s_GSFb*s_Fin*s_Fi*s_Fam*s_Foff*Isospec!M6*s_ETiw*(1/24)*s_EFiw*(1/365)),".")</f>
        <v>.</v>
      </c>
      <c r="D7" s="3" t="str">
        <f>IFERROR((s_DL)/(Doses!L5*s_GSFb*s_Fin*s_Fi*s_Fam*s_Foff*Isospec!L6*s_ETiw*(1/24)*s_EFiw*(1/365)),".")</f>
        <v>.</v>
      </c>
      <c r="E7" s="3" t="str">
        <f>IFERROR((s_DL)/(Doses!M5*s_GSFb*s_Fin*s_Fi*s_Fam*s_Foff*Isospec!N6*s_ETiw*(1/24)*s_EFiw*(1/365)),".")</f>
        <v>.</v>
      </c>
      <c r="F7" s="3" t="str">
        <f>IFERROR((s_DL)/(Doses!N5*s_GSFb*s_Fin*s_Fi*s_Fam*s_Foff*Isospec!O6*s_ETiw*(1/24)*s_EFiw*(1/365)),".")</f>
        <v>.</v>
      </c>
      <c r="G7" s="5" t="str">
        <f>IFERROR((s_DL)/(Doses!O5*s_GSFb*s_Fin*s_Fi*s_Fam*s_Foff*Isospec!P6*s_ETiw*(1/24)*s_EFiw*(1/365)),".")</f>
        <v>.</v>
      </c>
      <c r="H7" s="2" t="str">
        <f t="shared" si="1"/>
        <v>.</v>
      </c>
      <c r="I7" s="3" t="str">
        <f t="shared" si="1"/>
        <v>.</v>
      </c>
      <c r="J7" s="3" t="str">
        <f t="shared" si="1"/>
        <v>.</v>
      </c>
      <c r="K7" s="3" t="str">
        <f t="shared" si="1"/>
        <v>.</v>
      </c>
      <c r="L7" s="5" t="str">
        <f t="shared" si="1"/>
        <v>.</v>
      </c>
      <c r="M7" s="2" t="str">
        <f>IFERROR(C7*Isospec!C6*Isospec!F6*SSLgram,".")</f>
        <v>.</v>
      </c>
      <c r="N7" s="3" t="str">
        <f>IFERROR(D7*Isospec!C6*Isospec!F6*SSLcm_m,".")</f>
        <v>.</v>
      </c>
      <c r="O7" s="3" t="str">
        <f>IFERROR(E7*Isospec!C6*Isospec!F6*SSLgram,".")</f>
        <v>.</v>
      </c>
      <c r="P7" s="3" t="str">
        <f>IFERROR(F7*Isospec!C6*Isospec!F6*SSLgram,".")</f>
        <v>.</v>
      </c>
      <c r="Q7" s="5" t="str">
        <f>IFERROR(G7*Isospec!C6*Isospec!F6*SSLgram,".")</f>
        <v>.</v>
      </c>
      <c r="R7" s="67" t="str">
        <f t="shared" si="3"/>
        <v>.</v>
      </c>
    </row>
    <row r="8" spans="1:18">
      <c r="A8" s="87" t="s">
        <v>18</v>
      </c>
      <c r="B8" s="12" t="s">
        <v>59</v>
      </c>
      <c r="C8" s="2">
        <f>IFERROR((s_DL)/(Doses!I6*s_GSFb*s_Fin*s_Fi*s_Fam*s_Foff*Isospec!M7*s_ETiw*(1/24)*s_EFiw*(1/365)),".")</f>
        <v>4.6772382022125329</v>
      </c>
      <c r="D8" s="3">
        <f>IFERROR((s_DL)/(Doses!L6*s_GSFb*s_Fin*s_Fi*s_Fam*s_Foff*Isospec!L7*s_ETiw*(1/24)*s_EFiw*(1/365)),".")</f>
        <v>32.010772073832953</v>
      </c>
      <c r="E8" s="3">
        <f>IFERROR((s_DL)/(Doses!M6*s_GSFb*s_Fin*s_Fi*s_Fam*s_Foff*Isospec!N7*s_ETiw*(1/24)*s_EFiw*(1/365)),".")</f>
        <v>24.468644358758834</v>
      </c>
      <c r="F8" s="3">
        <f>IFERROR((s_DL)/(Doses!N6*s_GSFb*s_Fin*s_Fi*s_Fam*s_Foff*Isospec!O7*s_ETiw*(1/24)*s_EFiw*(1/365)),".")</f>
        <v>7.9316946151111756</v>
      </c>
      <c r="G8" s="5">
        <f>IFERROR((s_DL)/(Doses!O6*s_GSFb*s_Fin*s_Fi*s_Fam*s_Foff*Isospec!P7*s_ETiw*(1/24)*s_EFiw*(1/365)),".")</f>
        <v>6.3725847752013447</v>
      </c>
      <c r="H8" s="2">
        <f t="shared" ref="H8:L9" si="4">IFERROR(C8/_1_bq,".")</f>
        <v>0.17305781348186389</v>
      </c>
      <c r="I8" s="3">
        <f t="shared" si="4"/>
        <v>1.1843985667318204</v>
      </c>
      <c r="J8" s="3">
        <f t="shared" si="4"/>
        <v>0.90533984127407774</v>
      </c>
      <c r="K8" s="3">
        <f t="shared" si="4"/>
        <v>0.2934727007591138</v>
      </c>
      <c r="L8" s="5">
        <f t="shared" si="4"/>
        <v>0.23578563668245001</v>
      </c>
      <c r="M8" s="2">
        <f>IFERROR(C8*Isospec!C7*Isospec!F7*SSLgram,".")</f>
        <v>8.7115092119272467E-15</v>
      </c>
      <c r="N8" s="3">
        <f>IFERROR(D8*Isospec!C7*Isospec!F7*SSLcm_m,".")</f>
        <v>5.9621110524194736E-17</v>
      </c>
      <c r="O8" s="3">
        <f>IFERROR(E8*Isospec!C7*Isospec!F7*SSLgram,".")</f>
        <v>4.5573650842470682E-14</v>
      </c>
      <c r="P8" s="3">
        <f>IFERROR(F8*Isospec!C7*Isospec!F7*SSLgram,".")</f>
        <v>1.4773040781427152E-14</v>
      </c>
      <c r="Q8" s="5">
        <f>IFERROR(G8*Isospec!C7*Isospec!F7*SSLgram,".")</f>
        <v>1.1869147683496846E-14</v>
      </c>
      <c r="R8" s="67">
        <f t="shared" si="3"/>
        <v>7106.3914003909158</v>
      </c>
    </row>
    <row r="9" spans="1:18">
      <c r="A9" s="87" t="s">
        <v>19</v>
      </c>
      <c r="B9" s="90" t="s">
        <v>59</v>
      </c>
      <c r="C9" s="2">
        <f>IFERROR((s_DL)/(Doses!I7*s_GSFb*s_Fin*s_Fi*s_Fam*s_Foff*Isospec!M8*s_ETiw*(1/24)*s_EFiw*(1/365)),".")</f>
        <v>2329544549.1619167</v>
      </c>
      <c r="D9" s="3">
        <f>IFERROR((s_DL)/(Doses!L7*s_GSFb*s_Fin*s_Fi*s_Fam*s_Foff*Isospec!L8*s_ETiw*(1/24)*s_EFiw*(1/365)),".")</f>
        <v>306143795.49569964</v>
      </c>
      <c r="E9" s="3">
        <f>IFERROR((s_DL)/(Doses!M7*s_GSFb*s_Fin*s_Fi*s_Fam*s_Foff*Isospec!N8*s_ETiw*(1/24)*s_EFiw*(1/365)),".")</f>
        <v>3440114649.0533895</v>
      </c>
      <c r="F9" s="3">
        <f>IFERROR((s_DL)/(Doses!N7*s_GSFb*s_Fin*s_Fi*s_Fam*s_Foff*Isospec!O8*s_ETiw*(1/24)*s_EFiw*(1/365)),".")</f>
        <v>2377188904.0100951</v>
      </c>
      <c r="G9" s="5">
        <f>IFERROR((s_DL)/(Doses!O7*s_GSFb*s_Fin*s_Fi*s_Fam*s_Foff*Isospec!P8*s_ETiw*(1/24)*s_EFiw*(1/365)),".")</f>
        <v>2375492376.9149351</v>
      </c>
      <c r="H9" s="2">
        <f t="shared" si="4"/>
        <v>86193148.318991005</v>
      </c>
      <c r="I9" s="3">
        <f t="shared" si="4"/>
        <v>11327320.433340898</v>
      </c>
      <c r="J9" s="3">
        <f t="shared" si="4"/>
        <v>127284242.01497555</v>
      </c>
      <c r="K9" s="3">
        <f t="shared" si="4"/>
        <v>87955989.448373616</v>
      </c>
      <c r="L9" s="5">
        <f t="shared" si="4"/>
        <v>87893217.945852682</v>
      </c>
      <c r="M9" s="2">
        <f>IFERROR(C9*Isospec!C8*Isospec!F8*SSLgram,".")</f>
        <v>1.8812789076903001E-2</v>
      </c>
      <c r="N9" s="3">
        <f>IFERROR(D9*Isospec!C8*Isospec!F8*SSLcm_m,".")</f>
        <v>2.472336772411221E-6</v>
      </c>
      <c r="O9" s="3">
        <f>IFERROR(E9*Isospec!C8*Isospec!F8*SSLgram,".")</f>
        <v>2.7781461108476672E-2</v>
      </c>
      <c r="P9" s="3">
        <f>IFERROR(F9*Isospec!C8*Isospec!F8*SSLgram,".")</f>
        <v>1.919755235553889E-2</v>
      </c>
      <c r="Q9" s="5">
        <f>IFERROR(G9*Isospec!C8*Isospec!F8*SSLgram,".")</f>
        <v>1.9183851648928243E-2</v>
      </c>
      <c r="R9" s="67">
        <f t="shared" ref="R9:R11" si="5">IF(D9&lt;&gt;".",D9*2.22*100,".")</f>
        <v>67963922600.045326</v>
      </c>
    </row>
    <row r="10" spans="1:18">
      <c r="A10" s="87" t="s">
        <v>20</v>
      </c>
      <c r="B10" s="12" t="s">
        <v>59</v>
      </c>
      <c r="C10" s="2">
        <f>IFERROR((s_DL)/(Doses!I8*s_GSFb*s_Fin*s_Fi*s_Fam*s_Foff*Isospec!M9*s_ETiw*(1/24)*s_EFiw*(1/365)),".")</f>
        <v>69.923637902420722</v>
      </c>
      <c r="D10" s="3">
        <f>IFERROR((s_DL)/(Doses!L8*s_GSFb*s_Fin*s_Fi*s_Fam*s_Foff*Isospec!L9*s_ETiw*(1/24)*s_EFiw*(1/365)),".")</f>
        <v>287.69816142927874</v>
      </c>
      <c r="E10" s="3">
        <f>IFERROR((s_DL)/(Doses!M8*s_GSFb*s_Fin*s_Fi*s_Fam*s_Foff*Isospec!N9*s_ETiw*(1/24)*s_EFiw*(1/365)),".")</f>
        <v>315.18202344804695</v>
      </c>
      <c r="F10" s="3">
        <f>IFERROR((s_DL)/(Doses!N8*s_GSFb*s_Fin*s_Fi*s_Fam*s_Foff*Isospec!O9*s_ETiw*(1/24)*s_EFiw*(1/365)),".")</f>
        <v>104.32775155108712</v>
      </c>
      <c r="G10" s="5">
        <f>IFERROR((s_DL)/(Doses!O8*s_GSFb*s_Fin*s_Fi*s_Fam*s_Foff*Isospec!P9*s_ETiw*(1/24)*s_EFiw*(1/365)),".")</f>
        <v>78.966066410106407</v>
      </c>
      <c r="H10" s="2">
        <f t="shared" ref="H10:L11" si="6">IFERROR(C10/_1_bq,".")</f>
        <v>2.5871746023895694</v>
      </c>
      <c r="I10" s="3">
        <f t="shared" si="6"/>
        <v>10.644831972883324</v>
      </c>
      <c r="J10" s="3">
        <f t="shared" si="6"/>
        <v>11.661734867577749</v>
      </c>
      <c r="K10" s="3">
        <f t="shared" si="6"/>
        <v>3.8601268073902273</v>
      </c>
      <c r="L10" s="5">
        <f t="shared" si="6"/>
        <v>2.9217444571739399</v>
      </c>
      <c r="M10" s="2">
        <f>IFERROR(C10*Isospec!C9*Isospec!F9*SSLgram,".")</f>
        <v>3.6172280137666041E-12</v>
      </c>
      <c r="N10" s="3">
        <f>IFERROR(D10*Isospec!C9*Isospec!F9*SSLcm_m,".")</f>
        <v>1.4882947744844185E-14</v>
      </c>
      <c r="O10" s="3">
        <f>IFERROR(E10*Isospec!C9*Isospec!F9*SSLgram,".")</f>
        <v>1.6304718673861343E-11</v>
      </c>
      <c r="P10" s="3">
        <f>IFERROR(F10*Isospec!C9*Isospec!F9*SSLgram,".")</f>
        <v>5.3969913014324155E-12</v>
      </c>
      <c r="Q10" s="5">
        <f>IFERROR(G10*Isospec!C9*Isospec!F9*SSLgram,".")</f>
        <v>4.0850029564280195E-12</v>
      </c>
      <c r="R10" s="67">
        <f t="shared" si="5"/>
        <v>63868.99183729988</v>
      </c>
    </row>
    <row r="11" spans="1:18">
      <c r="A11" s="87" t="s">
        <v>21</v>
      </c>
      <c r="B11" s="90" t="s">
        <v>59</v>
      </c>
      <c r="C11" s="2">
        <f>IFERROR((s_DL)/(Doses!I9*s_GSFb*s_Fin*s_Fi*s_Fam*s_Foff*Isospec!M10*s_ETiw*(1/24)*s_EFiw*(1/365)),".")</f>
        <v>1.1863808604836468</v>
      </c>
      <c r="D11" s="3">
        <f>IFERROR((s_DL)/(Doses!L9*s_GSFb*s_Fin*s_Fi*s_Fam*s_Foff*Isospec!L10*s_ETiw*(1/24)*s_EFiw*(1/365)),".")</f>
        <v>9.5201813573244092</v>
      </c>
      <c r="E11" s="3">
        <f>IFERROR((s_DL)/(Doses!M9*s_GSFb*s_Fin*s_Fi*s_Fam*s_Foff*Isospec!N10*s_ETiw*(1/24)*s_EFiw*(1/365)),".")</f>
        <v>7.3265964496508786</v>
      </c>
      <c r="F11" s="3">
        <f>IFERROR((s_DL)/(Doses!N9*s_GSFb*s_Fin*s_Fi*s_Fam*s_Foff*Isospec!O10*s_ETiw*(1/24)*s_EFiw*(1/365)),".")</f>
        <v>2.4399918364192112</v>
      </c>
      <c r="G11" s="5">
        <f>IFERROR((s_DL)/(Doses!O9*s_GSFb*s_Fin*s_Fi*s_Fam*s_Foff*Isospec!P10*s_ETiw*(1/24)*s_EFiw*(1/365)),".")</f>
        <v>1.7997602538675741</v>
      </c>
      <c r="H11" s="2">
        <f t="shared" si="6"/>
        <v>4.3896091837894974E-2</v>
      </c>
      <c r="I11" s="3">
        <f t="shared" si="6"/>
        <v>0.35224671022100351</v>
      </c>
      <c r="J11" s="3">
        <f t="shared" si="6"/>
        <v>0.27108406863708279</v>
      </c>
      <c r="K11" s="3">
        <f t="shared" si="6"/>
        <v>9.0279697947510909E-2</v>
      </c>
      <c r="L11" s="5">
        <f t="shared" si="6"/>
        <v>6.6591129393100315E-2</v>
      </c>
      <c r="M11" s="2">
        <f>IFERROR(C11*Isospec!C10*Isospec!F10*SSLgram,".")</f>
        <v>2.6914954891316348E-14</v>
      </c>
      <c r="N11" s="3">
        <f>IFERROR(D11*Isospec!C10*Isospec!F10*SSLcm_m,".")</f>
        <v>2.1598060144453022E-16</v>
      </c>
      <c r="O11" s="3">
        <f>IFERROR(E11*Isospec!C10*Isospec!F10*SSLgram,".")</f>
        <v>1.6621560539070251E-13</v>
      </c>
      <c r="P11" s="3">
        <f>IFERROR(F11*Isospec!C10*Isospec!F10*SSLgram,".")</f>
        <v>5.5355132908694155E-14</v>
      </c>
      <c r="Q11" s="5">
        <f>IFERROR(G11*Isospec!C10*Isospec!F10*SSLgram,".")</f>
        <v>4.0830451384964439E-14</v>
      </c>
      <c r="R11" s="67">
        <f t="shared" si="5"/>
        <v>2113.480261326019</v>
      </c>
    </row>
    <row r="12" spans="1:18">
      <c r="A12" s="88" t="s">
        <v>17</v>
      </c>
      <c r="B12" s="12" t="s">
        <v>44</v>
      </c>
      <c r="C12" s="2">
        <f>IFERROR((s_DL)/(Doses!I10*s_GSFb*s_Fin*s_Fi*s_Fam*s_Foff*Isospec!M11*s_ETiw*(1/24)*s_EFiw*(1/365)),".")</f>
        <v>2924806367.8915334</v>
      </c>
      <c r="D12" s="3">
        <f>IFERROR((s_DL)/(Doses!L10*s_GSFb*s_Fin*s_Fi*s_Fam*s_Foff*Isospec!L11*s_ETiw*(1/24)*s_EFiw*(1/365)),".")</f>
        <v>4835.697182640135</v>
      </c>
      <c r="E12" s="3">
        <f>IFERROR((s_DL)/(Doses!M10*s_GSFb*s_Fin*s_Fi*s_Fam*s_Foff*Isospec!N11*s_ETiw*(1/24)*s_EFiw*(1/365)),".")</f>
        <v>34924.143555842304</v>
      </c>
      <c r="F12" s="3">
        <f>IFERROR((s_DL)/(Doses!N10*s_GSFb*s_Fin*s_Fi*s_Fam*s_Foff*Isospec!O11*s_ETiw*(1/24)*s_EFiw*(1/365)),".")</f>
        <v>20960.367870638416</v>
      </c>
      <c r="G12" s="5">
        <f>IFERROR((s_DL)/(Doses!O10*s_GSFb*s_Fin*s_Fi*s_Fam*s_Foff*Isospec!P11*s_ETiw*(1/24)*s_EFiw*(1/365)),".")</f>
        <v>12630.44001141588</v>
      </c>
      <c r="H12" s="2">
        <f t="shared" ref="H12:L12" si="7">IFERROR(C12/_1_bq,".")</f>
        <v>108217835.61198685</v>
      </c>
      <c r="I12" s="3">
        <f t="shared" si="7"/>
        <v>178.92079575768517</v>
      </c>
      <c r="J12" s="3">
        <f t="shared" si="7"/>
        <v>1292.1933115661666</v>
      </c>
      <c r="K12" s="3">
        <f t="shared" si="7"/>
        <v>775.53361121362218</v>
      </c>
      <c r="L12" s="5">
        <f t="shared" si="7"/>
        <v>467.32628042238804</v>
      </c>
      <c r="M12" s="2">
        <f>IFERROR(C12*Isospec!C11*Isospec!F11*SSLgram,".")</f>
        <v>33.846150482962813</v>
      </c>
      <c r="N12" s="3">
        <f>IFERROR(D12*Isospec!C11*Isospec!F11*SSLcm_m,".")</f>
        <v>5.5959169239523152E-8</v>
      </c>
      <c r="O12" s="3">
        <f>IFERROR(E12*Isospec!C11*Isospec!F11*SSLgram,".")</f>
        <v>4.0414566627593955E-4</v>
      </c>
      <c r="P12" s="3">
        <f>IFERROR(F12*Isospec!C11*Isospec!F11*SSLgram,".")</f>
        <v>2.4255546381325293E-4</v>
      </c>
      <c r="Q12" s="5">
        <f>IFERROR(G12*Isospec!C11*Isospec!F11*SSLgram,".")</f>
        <v>1.461607092987121E-4</v>
      </c>
      <c r="R12" s="67">
        <f t="shared" ref="R12" si="8">IF(D12&lt;&gt;".",D12*2.22*100,".")</f>
        <v>1073524.7745461101</v>
      </c>
    </row>
    <row r="13" spans="1:18">
      <c r="A13" s="87" t="s">
        <v>24</v>
      </c>
      <c r="B13" s="12" t="s">
        <v>59</v>
      </c>
      <c r="C13" s="2">
        <f>IFERROR((s_DL)/(Doses!I11*s_GSFb*s_Fin*s_Fi*s_Fam*s_Foff*Isospec!M12*s_ETiw*(1/24)*s_EFiw*(1/365)),".")</f>
        <v>829.96979370352585</v>
      </c>
      <c r="D13" s="3">
        <f>IFERROR((s_DL)/(Doses!L11*s_GSFb*s_Fin*s_Fi*s_Fam*s_Foff*Isospec!L12*s_ETiw*(1/24)*s_EFiw*(1/365)),".")</f>
        <v>2693.5402627562357</v>
      </c>
      <c r="E13" s="3">
        <f>IFERROR((s_DL)/(Doses!M11*s_GSFb*s_Fin*s_Fi*s_Fam*s_Foff*Isospec!N12*s_ETiw*(1/24)*s_EFiw*(1/365)),".")</f>
        <v>2428.7507956447612</v>
      </c>
      <c r="F13" s="3">
        <f>IFERROR((s_DL)/(Doses!N11*s_GSFb*s_Fin*s_Fi*s_Fam*s_Foff*Isospec!O12*s_ETiw*(1/24)*s_EFiw*(1/365)),".")</f>
        <v>933.80754781237988</v>
      </c>
      <c r="G13" s="5">
        <f>IFERROR((s_DL)/(Doses!O11*s_GSFb*s_Fin*s_Fi*s_Fam*s_Foff*Isospec!P12*s_ETiw*(1/24)*s_EFiw*(1/365)),".")</f>
        <v>793.11051482309551</v>
      </c>
      <c r="H13" s="2">
        <f t="shared" ref="H13:L13" si="9">IFERROR(C13/_1_bq,".")</f>
        <v>30.708882367030487</v>
      </c>
      <c r="I13" s="3">
        <f t="shared" si="9"/>
        <v>99.660989721980826</v>
      </c>
      <c r="J13" s="3">
        <f t="shared" si="9"/>
        <v>89.863779438856255</v>
      </c>
      <c r="K13" s="3">
        <f t="shared" si="9"/>
        <v>34.550879269058093</v>
      </c>
      <c r="L13" s="5">
        <f t="shared" si="9"/>
        <v>29.345089048454565</v>
      </c>
      <c r="M13" s="2">
        <f>IFERROR(C13*Isospec!C12*Isospec!F12*SSLgram,".")</f>
        <v>4.7879908882883146E-12</v>
      </c>
      <c r="N13" s="3">
        <f>IFERROR(D13*Isospec!C12*Isospec!F12*SSLcm_m,".")</f>
        <v>1.553869349602064E-14</v>
      </c>
      <c r="O13" s="3">
        <f>IFERROR(E13*Isospec!C12*Isospec!F12*SSLgram,".")</f>
        <v>1.4011156511587525E-11</v>
      </c>
      <c r="P13" s="3">
        <f>IFERROR(F13*Isospec!C12*Isospec!F12*SSLgram,".")</f>
        <v>5.3870177737307399E-12</v>
      </c>
      <c r="Q13" s="5">
        <f>IFERROR(G13*Isospec!C12*Isospec!F12*SSLgram,".")</f>
        <v>4.5753543649265739E-12</v>
      </c>
      <c r="R13" s="67">
        <f t="shared" ref="R13" si="10">IF(D13&lt;&gt;".",D13*2.22*100,".")</f>
        <v>597965.93833188433</v>
      </c>
    </row>
    <row r="14" spans="1:18">
      <c r="A14" s="87" t="s">
        <v>22</v>
      </c>
      <c r="B14" s="89" t="s">
        <v>59</v>
      </c>
      <c r="C14" s="2">
        <f>IFERROR((s_DL)/(Doses!I12*s_GSFb*s_Fin*s_Fi*s_Fam*s_Foff*Isospec!M13*s_ETiw*(1/24)*s_EFiw*(1/365)),".")</f>
        <v>60.262882890009251</v>
      </c>
      <c r="D14" s="3">
        <f>IFERROR((s_DL)/(Doses!L12*s_GSFb*s_Fin*s_Fi*s_Fam*s_Foff*Isospec!L13*s_ETiw*(1/24)*s_EFiw*(1/365)),".")</f>
        <v>196.70082850471979</v>
      </c>
      <c r="E14" s="3">
        <f>IFERROR((s_DL)/(Doses!M12*s_GSFb*s_Fin*s_Fi*s_Fam*s_Foff*Isospec!N13*s_ETiw*(1/24)*s_EFiw*(1/365)),".")</f>
        <v>217.33571401458775</v>
      </c>
      <c r="F14" s="3">
        <f>IFERROR((s_DL)/(Doses!N12*s_GSFb*s_Fin*s_Fi*s_Fam*s_Foff*Isospec!O13*s_ETiw*(1/24)*s_EFiw*(1/365)),".")</f>
        <v>78.729311297159626</v>
      </c>
      <c r="G14" s="5">
        <f>IFERROR((s_DL)/(Doses!O12*s_GSFb*s_Fin*s_Fi*s_Fam*s_Foff*Isospec!P13*s_ETiw*(1/24)*s_EFiw*(1/365)),".")</f>
        <v>62.878468124355294</v>
      </c>
      <c r="H14" s="2">
        <f t="shared" ref="H14:L14" si="11">IFERROR(C14/_1_bq,".")</f>
        <v>2.2297266669303446</v>
      </c>
      <c r="I14" s="3">
        <f t="shared" si="11"/>
        <v>7.2779306546746394</v>
      </c>
      <c r="J14" s="3">
        <f t="shared" si="11"/>
        <v>8.0414214185397555</v>
      </c>
      <c r="K14" s="3">
        <f t="shared" si="11"/>
        <v>2.912984517994909</v>
      </c>
      <c r="L14" s="5">
        <f t="shared" si="11"/>
        <v>2.3265033206011481</v>
      </c>
      <c r="M14" s="2">
        <f>IFERROR(C14*Isospec!C13*Isospec!F13*SSLgram,".")</f>
        <v>5.3898590455727632E-13</v>
      </c>
      <c r="N14" s="3">
        <f>IFERROR(D14*Isospec!C13*Isospec!F13*SSLcm_m,".")</f>
        <v>1.7592748453851112E-15</v>
      </c>
      <c r="O14" s="3">
        <f>IFERROR(E14*Isospec!C13*Isospec!F13*SSLgram,".")</f>
        <v>1.943831439736422E-12</v>
      </c>
      <c r="P14" s="3">
        <f>IFERROR(F14*Isospec!C13*Isospec!F13*SSLgram,".")</f>
        <v>7.0414801001340647E-13</v>
      </c>
      <c r="Q14" s="5">
        <f>IFERROR(G14*Isospec!C13*Isospec!F13*SSLgram,".")</f>
        <v>5.6237946798924372E-13</v>
      </c>
      <c r="R14" s="67">
        <f t="shared" ref="R14" si="12">IF(D14&lt;&gt;".",D14*2.22*100,".")</f>
        <v>43667.583928047796</v>
      </c>
    </row>
    <row r="15" spans="1:18">
      <c r="A15" s="87" t="s">
        <v>28</v>
      </c>
      <c r="B15" s="12" t="s">
        <v>59</v>
      </c>
      <c r="C15" s="2">
        <f>IFERROR((s_DL)/(Doses!I13*s_GSFb*s_Fin*s_Fi*s_Fam*s_Foff*Isospec!M14*s_ETiw*(1/24)*s_EFiw*(1/365)),".")</f>
        <v>497.44647621845144</v>
      </c>
      <c r="D15" s="3">
        <f>IFERROR((s_DL)/(Doses!L13*s_GSFb*s_Fin*s_Fi*s_Fam*s_Foff*Isospec!L14*s_ETiw*(1/24)*s_EFiw*(1/365)),".")</f>
        <v>347.34542055198807</v>
      </c>
      <c r="E15" s="3">
        <f>IFERROR((s_DL)/(Doses!M13*s_GSFb*s_Fin*s_Fi*s_Fam*s_Foff*Isospec!N14*s_ETiw*(1/24)*s_EFiw*(1/365)),".")</f>
        <v>756.68046972075297</v>
      </c>
      <c r="F15" s="3">
        <f>IFERROR((s_DL)/(Doses!N13*s_GSFb*s_Fin*s_Fi*s_Fam*s_Foff*Isospec!O14*s_ETiw*(1/24)*s_EFiw*(1/365)),".")</f>
        <v>280.38495829351143</v>
      </c>
      <c r="G15" s="5">
        <f>IFERROR((s_DL)/(Doses!O13*s_GSFb*s_Fin*s_Fi*s_Fam*s_Foff*Isospec!P14*s_ETiw*(1/24)*s_EFiw*(1/365)),".")</f>
        <v>264.10473334552012</v>
      </c>
      <c r="H15" s="2">
        <f t="shared" ref="H15:L15" si="13">IFERROR(C15/_1_bq,".")</f>
        <v>18.405519620082721</v>
      </c>
      <c r="I15" s="3">
        <f t="shared" si="13"/>
        <v>12.851780560423572</v>
      </c>
      <c r="J15" s="3">
        <f t="shared" si="13"/>
        <v>27.997177379667889</v>
      </c>
      <c r="K15" s="3">
        <f t="shared" si="13"/>
        <v>10.374243456859933</v>
      </c>
      <c r="L15" s="5">
        <f t="shared" si="13"/>
        <v>9.7718751337842544</v>
      </c>
      <c r="M15" s="2">
        <f>IFERROR(C15*Isospec!C14*Isospec!F14*SSLgram,".")</f>
        <v>0.7077461525902019</v>
      </c>
      <c r="N15" s="3">
        <f>IFERROR(D15*Isospec!C14*Isospec!F14*SSLcm_m,".")</f>
        <v>4.9418861479187367E-4</v>
      </c>
      <c r="O15" s="3">
        <f>IFERROR(E15*Isospec!C14*Isospec!F14*SSLgram,".")</f>
        <v>1.0765734944111467</v>
      </c>
      <c r="P15" s="3">
        <f>IFERROR(F15*Isospec!C14*Isospec!F14*SSLgram,".")</f>
        <v>0.39892005464574293</v>
      </c>
      <c r="Q15" s="5">
        <f>IFERROR(G15*Isospec!C14*Isospec!F14*SSLgram,".")</f>
        <v>0.37575722784709886</v>
      </c>
      <c r="R15" s="67">
        <f t="shared" ref="R15:R16" si="14">IF(D15&lt;&gt;".",D15*2.22*100,".")</f>
        <v>77110.683362541356</v>
      </c>
    </row>
    <row r="16" spans="1:18">
      <c r="A16" s="87" t="s">
        <v>29</v>
      </c>
      <c r="B16" s="12" t="s">
        <v>59</v>
      </c>
      <c r="C16" s="2">
        <f>IFERROR((s_DL)/(Doses!I14*s_GSFb*s_Fin*s_Fi*s_Fam*s_Foff*Isospec!M15*s_ETiw*(1/24)*s_EFiw*(1/365)),".")</f>
        <v>13.893986903412578</v>
      </c>
      <c r="D16" s="3">
        <f>IFERROR((s_DL)/(Doses!L14*s_GSFb*s_Fin*s_Fi*s_Fam*s_Foff*Isospec!L15*s_ETiw*(1/24)*s_EFiw*(1/365)),".")</f>
        <v>32.845488900886821</v>
      </c>
      <c r="E16" s="3">
        <f>IFERROR((s_DL)/(Doses!M14*s_GSFb*s_Fin*s_Fi*s_Fam*s_Foff*Isospec!N15*s_ETiw*(1/24)*s_EFiw*(1/365)),".")</f>
        <v>40.209206689807793</v>
      </c>
      <c r="F16" s="3">
        <f>IFERROR((s_DL)/(Doses!N14*s_GSFb*s_Fin*s_Fi*s_Fam*s_Foff*Isospec!O15*s_ETiw*(1/24)*s_EFiw*(1/365)),".")</f>
        <v>13.383411621725825</v>
      </c>
      <c r="G16" s="5">
        <f>IFERROR((s_DL)/(Doses!O14*s_GSFb*s_Fin*s_Fi*s_Fam*s_Foff*Isospec!P15*s_ETiw*(1/24)*s_EFiw*(1/365)),".")</f>
        <v>11.518842025306137</v>
      </c>
      <c r="H16" s="2">
        <f t="shared" ref="H16:L16" si="15">IFERROR(C16/_1_bq,".")</f>
        <v>0.5140775154262659</v>
      </c>
      <c r="I16" s="3">
        <f t="shared" si="15"/>
        <v>1.2152830893328137</v>
      </c>
      <c r="J16" s="3">
        <f t="shared" si="15"/>
        <v>1.4877406475228898</v>
      </c>
      <c r="K16" s="3">
        <f t="shared" si="15"/>
        <v>0.49518623000385603</v>
      </c>
      <c r="L16" s="5">
        <f t="shared" si="15"/>
        <v>0.42619715493632748</v>
      </c>
      <c r="M16" s="2">
        <f>IFERROR(C16*Isospec!C15*Isospec!F15*SSLgram,".")</f>
        <v>6.6970047694079787E-10</v>
      </c>
      <c r="N16" s="3">
        <f>IFERROR(D16*Isospec!C15*Isospec!F15*SSLcm_m,".")</f>
        <v>1.583176933675882E-12</v>
      </c>
      <c r="O16" s="3">
        <f>IFERROR(E16*Isospec!C15*Isospec!F15*SSLgram,".")</f>
        <v>1.9381135943752351E-9</v>
      </c>
      <c r="P16" s="3">
        <f>IFERROR(F16*Isospec!C15*Isospec!F15*SSLgram,".")</f>
        <v>6.4509036955860245E-10</v>
      </c>
      <c r="Q16" s="5">
        <f>IFERROR(G16*Isospec!C15*Isospec!F15*SSLgram,".")</f>
        <v>5.5521673165378508E-10</v>
      </c>
      <c r="R16" s="67">
        <f t="shared" si="14"/>
        <v>7291.6985359968749</v>
      </c>
    </row>
    <row r="17" spans="1:18">
      <c r="A17" s="87" t="s">
        <v>32</v>
      </c>
      <c r="B17" s="12" t="s">
        <v>59</v>
      </c>
      <c r="C17" s="2" t="str">
        <f>IFERROR((s_DL)/(Doses!I15*s_GSFb*s_Fin*s_Fi*s_Fam*s_Foff*Isospec!M16*s_ETiw*(1/24)*s_EFiw*(1/365)),".")</f>
        <v>.</v>
      </c>
      <c r="D17" s="3" t="str">
        <f>IFERROR((s_DL)/(Doses!L15*s_GSFb*s_Fin*s_Fi*s_Fam*s_Foff*Isospec!L16*s_ETiw*(1/24)*s_EFiw*(1/365)),".")</f>
        <v>.</v>
      </c>
      <c r="E17" s="3" t="str">
        <f>IFERROR((s_DL)/(Doses!M15*s_GSFb*s_Fin*s_Fi*s_Fam*s_Foff*Isospec!N16*s_ETiw*(1/24)*s_EFiw*(1/365)),".")</f>
        <v>.</v>
      </c>
      <c r="F17" s="3" t="str">
        <f>IFERROR((s_DL)/(Doses!N15*s_GSFb*s_Fin*s_Fi*s_Fam*s_Foff*Isospec!O16*s_ETiw*(1/24)*s_EFiw*(1/365)),".")</f>
        <v>.</v>
      </c>
      <c r="G17" s="5" t="str">
        <f>IFERROR((s_DL)/(Doses!O15*s_GSFb*s_Fin*s_Fi*s_Fam*s_Foff*Isospec!P16*s_ETiw*(1/24)*s_EFiw*(1/365)),".")</f>
        <v>.</v>
      </c>
      <c r="H17" s="2" t="str">
        <f t="shared" ref="H17:L19" si="16">IFERROR(C17/_1_bq,".")</f>
        <v>.</v>
      </c>
      <c r="I17" s="3" t="str">
        <f t="shared" si="16"/>
        <v>.</v>
      </c>
      <c r="J17" s="3" t="str">
        <f t="shared" si="16"/>
        <v>.</v>
      </c>
      <c r="K17" s="3" t="str">
        <f t="shared" si="16"/>
        <v>.</v>
      </c>
      <c r="L17" s="5" t="str">
        <f t="shared" si="16"/>
        <v>.</v>
      </c>
      <c r="M17" s="2" t="str">
        <f>IFERROR(C17*Isospec!C16*Isospec!F16*SSLgram,".")</f>
        <v>.</v>
      </c>
      <c r="N17" s="3" t="str">
        <f>IFERROR(D17*Isospec!C16*Isospec!F16*SSLcm_m,".")</f>
        <v>.</v>
      </c>
      <c r="O17" s="3" t="str">
        <f>IFERROR(E17*Isospec!C16*Isospec!F16*SSLgram,".")</f>
        <v>.</v>
      </c>
      <c r="P17" s="3" t="str">
        <f>IFERROR(F17*Isospec!C16*Isospec!F16*SSLgram,".")</f>
        <v>.</v>
      </c>
      <c r="Q17" s="5" t="str">
        <f>IFERROR(G17*Isospec!C16*Isospec!F16*SSLgram,".")</f>
        <v>.</v>
      </c>
      <c r="R17" s="67" t="str">
        <f t="shared" ref="R17:R23" si="17">IF(D17&lt;&gt;".",D17*2.22*100,".")</f>
        <v>.</v>
      </c>
    </row>
    <row r="18" spans="1:18">
      <c r="A18" s="87" t="s">
        <v>33</v>
      </c>
      <c r="B18" s="90" t="s">
        <v>59</v>
      </c>
      <c r="C18" s="2">
        <f>IFERROR((s_DL)/(Doses!I16*s_GSFb*s_Fin*s_Fi*s_Fam*s_Foff*Isospec!M17*s_ETiw*(1/24)*s_EFiw*(1/365)),".")</f>
        <v>51027.421298933739</v>
      </c>
      <c r="D18" s="3">
        <f>IFERROR((s_DL)/(Doses!L16*s_GSFb*s_Fin*s_Fi*s_Fam*s_Foff*Isospec!L17*s_ETiw*(1/24)*s_EFiw*(1/365)),".")</f>
        <v>9274.027886807824</v>
      </c>
      <c r="E18" s="3">
        <f>IFERROR((s_DL)/(Doses!M16*s_GSFb*s_Fin*s_Fi*s_Fam*s_Foff*Isospec!N17*s_ETiw*(1/24)*s_EFiw*(1/365)),".")</f>
        <v>36201.619477710665</v>
      </c>
      <c r="F18" s="3">
        <f>IFERROR((s_DL)/(Doses!N16*s_GSFb*s_Fin*s_Fi*s_Fam*s_Foff*Isospec!O17*s_ETiw*(1/24)*s_EFiw*(1/365)),".")</f>
        <v>23691.843860369183</v>
      </c>
      <c r="G18" s="5">
        <f>IFERROR((s_DL)/(Doses!O16*s_GSFb*s_Fin*s_Fi*s_Fam*s_Foff*Isospec!P17*s_ETiw*(1/24)*s_EFiw*(1/365)),".")</f>
        <v>24761.207919257478</v>
      </c>
      <c r="H18" s="2">
        <f t="shared" si="16"/>
        <v>1888.0145880605503</v>
      </c>
      <c r="I18" s="3">
        <f t="shared" si="16"/>
        <v>343.13903181188982</v>
      </c>
      <c r="J18" s="3">
        <f t="shared" si="16"/>
        <v>1339.459920675296</v>
      </c>
      <c r="K18" s="3">
        <f t="shared" si="16"/>
        <v>876.59822283366066</v>
      </c>
      <c r="L18" s="5">
        <f t="shared" si="16"/>
        <v>916.16469301252766</v>
      </c>
      <c r="M18" s="2">
        <f>IFERROR(C18*Isospec!C17*Isospec!F17*SSLgram,".")</f>
        <v>6.6609154666776135E-4</v>
      </c>
      <c r="N18" s="3">
        <f>IFERROR(D18*Isospec!C17*Isospec!F17*SSLcm_m,".")</f>
        <v>1.2105945042323461E-7</v>
      </c>
      <c r="O18" s="3">
        <f>IFERROR(E18*Isospec!C17*Isospec!F17*SSLgram,".")</f>
        <v>4.7256146001424385E-4</v>
      </c>
      <c r="P18" s="3">
        <f>IFERROR(F18*Isospec!C17*Isospec!F17*SSLgram,".")</f>
        <v>3.0926385301571513E-4</v>
      </c>
      <c r="Q18" s="5">
        <f>IFERROR(G18*Isospec!C17*Isospec!F17*SSLgram,".")</f>
        <v>3.2322290369481941E-4</v>
      </c>
      <c r="R18" s="67">
        <f t="shared" si="17"/>
        <v>2058834.190871337</v>
      </c>
    </row>
    <row r="19" spans="1:18">
      <c r="A19" s="87" t="s">
        <v>34</v>
      </c>
      <c r="B19" s="90" t="s">
        <v>59</v>
      </c>
      <c r="C19" s="2">
        <f>IFERROR((s_DL)/(Doses!I17*s_GSFb*s_Fin*s_Fi*s_Fam*s_Foff*Isospec!M18*s_ETiw*(1/24)*s_EFiw*(1/365)),".")</f>
        <v>13.496980845089489</v>
      </c>
      <c r="D19" s="3">
        <f>IFERROR((s_DL)/(Doses!L17*s_GSFb*s_Fin*s_Fi*s_Fam*s_Foff*Isospec!L18*s_ETiw*(1/24)*s_EFiw*(1/365)),".")</f>
        <v>49.949279124082111</v>
      </c>
      <c r="E19" s="3">
        <f>IFERROR((s_DL)/(Doses!M17*s_GSFb*s_Fin*s_Fi*s_Fam*s_Foff*Isospec!N18*s_ETiw*(1/24)*s_EFiw*(1/365)),".")</f>
        <v>48.792203288153523</v>
      </c>
      <c r="F19" s="3">
        <f>IFERROR((s_DL)/(Doses!N17*s_GSFb*s_Fin*s_Fi*s_Fam*s_Foff*Isospec!O18*s_ETiw*(1/24)*s_EFiw*(1/365)),".")</f>
        <v>17.523897078371331</v>
      </c>
      <c r="G19" s="5">
        <f>IFERROR((s_DL)/(Doses!O17*s_GSFb*s_Fin*s_Fi*s_Fam*s_Foff*Isospec!P18*s_ETiw*(1/24)*s_EFiw*(1/365)),".")</f>
        <v>13.77105793339253</v>
      </c>
      <c r="H19" s="2">
        <f t="shared" si="16"/>
        <v>0.49938829126831158</v>
      </c>
      <c r="I19" s="3">
        <f t="shared" si="16"/>
        <v>1.84812332759104</v>
      </c>
      <c r="J19" s="3">
        <f t="shared" si="16"/>
        <v>1.8053115216616822</v>
      </c>
      <c r="K19" s="3">
        <f t="shared" si="16"/>
        <v>0.64838419189973984</v>
      </c>
      <c r="L19" s="5">
        <f t="shared" si="16"/>
        <v>0.50952914353552414</v>
      </c>
      <c r="M19" s="2">
        <f>IFERROR(C19*Isospec!C18*Isospec!F18*SSLgram,".")</f>
        <v>4.1237077001468477E-13</v>
      </c>
      <c r="N19" s="3">
        <f>IFERROR(D19*Isospec!C18*Isospec!F18*SSLcm_m,".")</f>
        <v>1.5260911258957625E-15</v>
      </c>
      <c r="O19" s="3">
        <f>IFERROR(E19*Isospec!C18*Isospec!F18*SSLgram,".")</f>
        <v>1.4907392009798394E-12</v>
      </c>
      <c r="P19" s="3">
        <f>IFERROR(F19*Isospec!C18*Isospec!F18*SSLgram,".")</f>
        <v>5.3540440005108096E-13</v>
      </c>
      <c r="Q19" s="5">
        <f>IFERROR(G19*Isospec!C18*Isospec!F18*SSLgram,".")</f>
        <v>4.2074459681670079E-13</v>
      </c>
      <c r="R19" s="67">
        <f t="shared" si="17"/>
        <v>11088.739965546229</v>
      </c>
    </row>
    <row r="20" spans="1:18">
      <c r="A20" s="87" t="s">
        <v>36</v>
      </c>
      <c r="B20" s="90" t="s">
        <v>59</v>
      </c>
      <c r="C20" s="2">
        <f>IFERROR((s_DL)/(Doses!I18*s_GSFb*s_Fin*s_Fi*s_Fam*s_Foff*Isospec!M19*s_ETiw*(1/24)*s_EFiw*(1/365)),".")</f>
        <v>19634159050.967266</v>
      </c>
      <c r="D20" s="3">
        <f>IFERROR((s_DL)/(Doses!L18*s_GSFb*s_Fin*s_Fi*s_Fam*s_Foff*Isospec!L19*s_ETiw*(1/24)*s_EFiw*(1/365)),".")</f>
        <v>165604621688.10611</v>
      </c>
      <c r="E20" s="3">
        <f>IFERROR((s_DL)/(Doses!M18*s_GSFb*s_Fin*s_Fi*s_Fam*s_Foff*Isospec!N19*s_ETiw*(1/24)*s_EFiw*(1/365)),".")</f>
        <v>117346325616.99806</v>
      </c>
      <c r="F20" s="3">
        <f>IFERROR((s_DL)/(Doses!N18*s_GSFb*s_Fin*s_Fi*s_Fam*s_Foff*Isospec!O19*s_ETiw*(1/24)*s_EFiw*(1/365)),".")</f>
        <v>39958126190.326263</v>
      </c>
      <c r="G20" s="5">
        <f>IFERROR((s_DL)/(Doses!O18*s_GSFb*s_Fin*s_Fi*s_Fam*s_Foff*Isospec!P19*s_ETiw*(1/24)*s_EFiw*(1/365)),".")</f>
        <v>29305140731.717205</v>
      </c>
      <c r="H20" s="2">
        <f t="shared" ref="H20:L23" si="18">IFERROR(C20/_1_bq,".")</f>
        <v>726463884.88578963</v>
      </c>
      <c r="I20" s="3">
        <f t="shared" si="18"/>
        <v>6127371002.4599323</v>
      </c>
      <c r="J20" s="3">
        <f t="shared" si="18"/>
        <v>4341814047.8289328</v>
      </c>
      <c r="K20" s="3">
        <f t="shared" si="18"/>
        <v>1478450669.0420732</v>
      </c>
      <c r="L20" s="5">
        <f t="shared" si="18"/>
        <v>1084290207.0735376</v>
      </c>
      <c r="M20" s="2">
        <f>IFERROR(C20*Isospec!C19*Isospec!F19*SSLgram,".")</f>
        <v>4.3768084355833805</v>
      </c>
      <c r="N20" s="3">
        <f>IFERROR(D20*Isospec!C19*Isospec!F19*SSLcm_m,".")</f>
        <v>3.6916259224272177E-2</v>
      </c>
      <c r="O20" s="3">
        <f>IFERROR(E20*Isospec!C19*Isospec!F19*SSLgram,".")</f>
        <v>26.158614000831825</v>
      </c>
      <c r="P20" s="3">
        <f>IFERROR(F20*Isospec!C19*Isospec!F19*SSLgram,".")</f>
        <v>8.907387544632801</v>
      </c>
      <c r="Q20" s="5">
        <f>IFERROR(G20*Isospec!C19*Isospec!F19*SSLgram,".")</f>
        <v>6.5326448068179017</v>
      </c>
      <c r="R20" s="67">
        <f t="shared" si="17"/>
        <v>36764226014759.555</v>
      </c>
    </row>
    <row r="21" spans="1:18">
      <c r="A21" s="87" t="s">
        <v>37</v>
      </c>
      <c r="B21" s="12" t="s">
        <v>59</v>
      </c>
      <c r="C21" s="2">
        <f>IFERROR((s_DL)/(Doses!I19*s_GSFb*s_Fin*s_Fi*s_Fam*s_Foff*Isospec!M20*s_ETiw*(1/24)*s_EFiw*(1/365)),".")</f>
        <v>1280193721.7857842</v>
      </c>
      <c r="D21" s="3">
        <f>IFERROR((s_DL)/(Doses!L19*s_GSFb*s_Fin*s_Fi*s_Fam*s_Foff*Isospec!L20*s_ETiw*(1/24)*s_EFiw*(1/365)),".")</f>
        <v>10271160124.877478</v>
      </c>
      <c r="E21" s="3">
        <f>IFERROR((s_DL)/(Doses!M19*s_GSFb*s_Fin*s_Fi*s_Fam*s_Foff*Isospec!N20*s_ETiw*(1/24)*s_EFiw*(1/365)),".")</f>
        <v>7453795086.477458</v>
      </c>
      <c r="F21" s="3">
        <f>IFERROR((s_DL)/(Doses!N19*s_GSFb*s_Fin*s_Fi*s_Fam*s_Foff*Isospec!O20*s_ETiw*(1/24)*s_EFiw*(1/365)),".")</f>
        <v>2538518139.0775685</v>
      </c>
      <c r="G21" s="5">
        <f>IFERROR((s_DL)/(Doses!O19*s_GSFb*s_Fin*s_Fi*s_Fam*s_Foff*Isospec!P20*s_ETiw*(1/24)*s_EFiw*(1/365)),".")</f>
        <v>1870985692.3657694</v>
      </c>
      <c r="H21" s="2">
        <f t="shared" si="18"/>
        <v>47367167.706074066</v>
      </c>
      <c r="I21" s="3">
        <f t="shared" si="18"/>
        <v>380032924.62046707</v>
      </c>
      <c r="J21" s="3">
        <f t="shared" si="18"/>
        <v>275790418.1996662</v>
      </c>
      <c r="K21" s="3">
        <f t="shared" si="18"/>
        <v>93925171.145870134</v>
      </c>
      <c r="L21" s="5">
        <f t="shared" si="18"/>
        <v>69226470.617533535</v>
      </c>
      <c r="M21" s="2">
        <f>IFERROR(C21*Isospec!C20*Isospec!F20*SSLgram,".")</f>
        <v>1.016847935637603E-13</v>
      </c>
      <c r="N21" s="3">
        <f>IFERROR(D21*Isospec!C20*Isospec!F20*SSLcm_m,".")</f>
        <v>8.158302756723381E-16</v>
      </c>
      <c r="O21" s="3">
        <f>IFERROR(E21*Isospec!C20*Isospec!F20*SSLgram,".")</f>
        <v>5.9204915766791844E-13</v>
      </c>
      <c r="P21" s="3">
        <f>IFERROR(F21*Isospec!C20*Isospec!F20*SSLgram,".")</f>
        <v>2.0163252524773462E-13</v>
      </c>
      <c r="Q21" s="5">
        <f>IFERROR(G21*Isospec!C20*Isospec!F20*SSLgram,".")</f>
        <v>1.486109411812888E-13</v>
      </c>
      <c r="R21" s="67">
        <f t="shared" si="17"/>
        <v>2280197547722.8003</v>
      </c>
    </row>
    <row r="22" spans="1:18">
      <c r="A22" s="87" t="s">
        <v>38</v>
      </c>
      <c r="B22" s="90" t="s">
        <v>59</v>
      </c>
      <c r="C22" s="2">
        <f>IFERROR((s_DL)/(Doses!I20*s_GSFb*s_Fin*s_Fi*s_Fam*s_Foff*Isospec!M21*s_ETiw*(1/24)*s_EFiw*(1/365)),".")</f>
        <v>268250414.1269643</v>
      </c>
      <c r="D22" s="3">
        <f>IFERROR((s_DL)/(Doses!L20*s_GSFb*s_Fin*s_Fi*s_Fam*s_Foff*Isospec!L21*s_ETiw*(1/24)*s_EFiw*(1/365)),".")</f>
        <v>2254895525.9959869</v>
      </c>
      <c r="E22" s="3">
        <f>IFERROR((s_DL)/(Doses!M20*s_GSFb*s_Fin*s_Fi*s_Fam*s_Foff*Isospec!N21*s_ETiw*(1/24)*s_EFiw*(1/365)),".")</f>
        <v>1598281572.4892294</v>
      </c>
      <c r="F22" s="3">
        <f>IFERROR((s_DL)/(Doses!N20*s_GSFb*s_Fin*s_Fi*s_Fam*s_Foff*Isospec!O21*s_ETiw*(1/24)*s_EFiw*(1/365)),".")</f>
        <v>544867689.88385892</v>
      </c>
      <c r="G22" s="5">
        <f>IFERROR((s_DL)/(Doses!O20*s_GSFb*s_Fin*s_Fi*s_Fam*s_Foff*Isospec!P21*s_ETiw*(1/24)*s_EFiw*(1/365)),".")</f>
        <v>397587742.76205122</v>
      </c>
      <c r="H22" s="2">
        <f t="shared" si="18"/>
        <v>9925265.3226976898</v>
      </c>
      <c r="I22" s="3">
        <f t="shared" si="18"/>
        <v>83431134.461851597</v>
      </c>
      <c r="J22" s="3">
        <f t="shared" si="18"/>
        <v>59136418.182101548</v>
      </c>
      <c r="K22" s="3">
        <f t="shared" si="18"/>
        <v>20160104.525702801</v>
      </c>
      <c r="L22" s="5">
        <f t="shared" si="18"/>
        <v>14710746.48219591</v>
      </c>
      <c r="M22" s="2">
        <f>IFERROR(C22*Isospec!C21*Isospec!F21*SSLgram,".")</f>
        <v>8.3741967878625012E-13</v>
      </c>
      <c r="N22" s="3">
        <f>IFERROR(D22*Isospec!C21*Isospec!F21*SSLcm_m,".")</f>
        <v>7.0392953286639582E-15</v>
      </c>
      <c r="O22" s="3">
        <f>IFERROR(E22*Isospec!C21*Isospec!F21*SSLgram,".")</f>
        <v>4.9894888155155884E-12</v>
      </c>
      <c r="P22" s="3">
        <f>IFERROR(F22*Isospec!C21*Isospec!F21*SSLgram,".")</f>
        <v>1.7009588869733717E-12</v>
      </c>
      <c r="Q22" s="5">
        <f>IFERROR(G22*Isospec!C21*Isospec!F21*SSLgram,".")</f>
        <v>1.2411827989781264E-12</v>
      </c>
      <c r="R22" s="67">
        <f t="shared" si="17"/>
        <v>500586806771.10913</v>
      </c>
    </row>
    <row r="23" spans="1:18">
      <c r="A23" s="87" t="s">
        <v>39</v>
      </c>
      <c r="B23" s="90" t="s">
        <v>59</v>
      </c>
      <c r="C23" s="2" t="str">
        <f>IFERROR((s_DL)/(Doses!I21*s_GSFb*s_Fin*s_Fi*s_Fam*s_Foff*Isospec!M22*s_ETiw*(1/24)*s_EFiw*(1/365)),".")</f>
        <v>.</v>
      </c>
      <c r="D23" s="3" t="str">
        <f>IFERROR((s_DL)/(Doses!L21*s_GSFb*s_Fin*s_Fi*s_Fam*s_Foff*Isospec!L22*s_ETiw*(1/24)*s_EFiw*(1/365)),".")</f>
        <v>.</v>
      </c>
      <c r="E23" s="3" t="str">
        <f>IFERROR((s_DL)/(Doses!M21*s_GSFb*s_Fin*s_Fi*s_Fam*s_Foff*Isospec!N22*s_ETiw*(1/24)*s_EFiw*(1/365)),".")</f>
        <v>.</v>
      </c>
      <c r="F23" s="3" t="str">
        <f>IFERROR((s_DL)/(Doses!N21*s_GSFb*s_Fin*s_Fi*s_Fam*s_Foff*Isospec!O22*s_ETiw*(1/24)*s_EFiw*(1/365)),".")</f>
        <v>.</v>
      </c>
      <c r="G23" s="5" t="str">
        <f>IFERROR((s_DL)/(Doses!O21*s_GSFb*s_Fin*s_Fi*s_Fam*s_Foff*Isospec!P22*s_ETiw*(1/24)*s_EFiw*(1/365)),".")</f>
        <v>.</v>
      </c>
      <c r="H23" s="2" t="str">
        <f t="shared" si="18"/>
        <v>.</v>
      </c>
      <c r="I23" s="3" t="str">
        <f t="shared" si="18"/>
        <v>.</v>
      </c>
      <c r="J23" s="3" t="str">
        <f t="shared" si="18"/>
        <v>.</v>
      </c>
      <c r="K23" s="3" t="str">
        <f t="shared" si="18"/>
        <v>.</v>
      </c>
      <c r="L23" s="5" t="str">
        <f t="shared" si="18"/>
        <v>.</v>
      </c>
      <c r="M23" s="2" t="str">
        <f>IFERROR(C23*Isospec!C22*Isospec!F22*SSLgram,".")</f>
        <v>.</v>
      </c>
      <c r="N23" s="3" t="str">
        <f>IFERROR(D23*Isospec!C22*Isospec!F22*SSLcm_m,".")</f>
        <v>.</v>
      </c>
      <c r="O23" s="3" t="str">
        <f>IFERROR(E23*Isospec!C22*Isospec!F22*SSLgram,".")</f>
        <v>.</v>
      </c>
      <c r="P23" s="3" t="str">
        <f>IFERROR(F23*Isospec!C22*Isospec!F22*SSLgram,".")</f>
        <v>.</v>
      </c>
      <c r="Q23" s="5" t="str">
        <f>IFERROR(G23*Isospec!C22*Isospec!F22*SSLgram,".")</f>
        <v>.</v>
      </c>
      <c r="R23" s="67" t="str">
        <f t="shared" si="17"/>
        <v>.</v>
      </c>
    </row>
    <row r="24" spans="1:18">
      <c r="A24" s="87" t="s">
        <v>26</v>
      </c>
      <c r="B24" s="12" t="s">
        <v>59</v>
      </c>
      <c r="C24" s="2">
        <f>IFERROR((s_DL)/(Doses!I22*s_GSFb*s_Fin*s_Fi*s_Fam*s_Foff*Isospec!M23*s_ETiw*(1/24)*s_EFiw*(1/365)),".")</f>
        <v>2702.9654954959287</v>
      </c>
      <c r="D24" s="3">
        <f>IFERROR((s_DL)/(Doses!L22*s_GSFb*s_Fin*s_Fi*s_Fam*s_Foff*Isospec!L23*s_ETiw*(1/24)*s_EFiw*(1/365)),".")</f>
        <v>2104.3555748904296</v>
      </c>
      <c r="E24" s="3">
        <f>IFERROR((s_DL)/(Doses!M22*s_GSFb*s_Fin*s_Fi*s_Fam*s_Foff*Isospec!N23*s_ETiw*(1/24)*s_EFiw*(1/365)),".")</f>
        <v>6646.1493117219716</v>
      </c>
      <c r="F24" s="3">
        <f>IFERROR((s_DL)/(Doses!N22*s_GSFb*s_Fin*s_Fi*s_Fam*s_Foff*Isospec!O23*s_ETiw*(1/24)*s_EFiw*(1/365)),".")</f>
        <v>4588.7038434745573</v>
      </c>
      <c r="G24" s="5">
        <f>IFERROR((s_DL)/(Doses!O22*s_GSFb*s_Fin*s_Fi*s_Fam*s_Foff*Isospec!P23*s_ETiw*(1/24)*s_EFiw*(1/365)),".")</f>
        <v>5037.6066920243838</v>
      </c>
      <c r="H24" s="2">
        <f t="shared" ref="H24:L25" si="19">IFERROR(C24/_1_bq,".")</f>
        <v>100.00972333334947</v>
      </c>
      <c r="I24" s="3">
        <f t="shared" si="19"/>
        <v>77.861156270945969</v>
      </c>
      <c r="J24" s="3">
        <f t="shared" si="19"/>
        <v>245.9075245337132</v>
      </c>
      <c r="K24" s="3">
        <f t="shared" si="19"/>
        <v>169.78204220855878</v>
      </c>
      <c r="L24" s="5">
        <f t="shared" si="19"/>
        <v>186.3914476049024</v>
      </c>
      <c r="M24" s="2">
        <f>IFERROR(C24*Isospec!C23*Isospec!F23*SSLgram,".")</f>
        <v>6.9514348236219636E-8</v>
      </c>
      <c r="N24" s="3">
        <f>IFERROR(D24*Isospec!C23*Isospec!F23*SSLcm_m,".")</f>
        <v>5.4119413099990077E-11</v>
      </c>
      <c r="O24" s="3">
        <f>IFERROR(E24*Isospec!C23*Isospec!F23*SSLgram,".")</f>
        <v>1.7092439339488731E-7</v>
      </c>
      <c r="P24" s="3">
        <f>IFERROR(F24*Isospec!C23*Isospec!F23*SSLgram,".")</f>
        <v>1.1801140542108349E-7</v>
      </c>
      <c r="Q24" s="5">
        <f>IFERROR(G24*Isospec!C23*Isospec!F23*SSLgram,".")</f>
        <v>1.2955620278913064E-7</v>
      </c>
      <c r="R24" s="67">
        <f t="shared" ref="R24:R25" si="20">IF(D24&lt;&gt;".",D24*2.22*100,".")</f>
        <v>467166.9376256754</v>
      </c>
    </row>
    <row r="25" spans="1:18">
      <c r="A25" s="88" t="s">
        <v>27</v>
      </c>
      <c r="B25" s="90" t="s">
        <v>44</v>
      </c>
      <c r="C25" s="2">
        <f>IFERROR((s_DL)/(Doses!I23*s_GSFb*s_Fin*s_Fi*s_Fam*s_Foff*Isospec!M24*s_ETiw*(1/24)*s_EFiw*(1/365)),".")</f>
        <v>12472.597569173206</v>
      </c>
      <c r="D25" s="3">
        <f>IFERROR((s_DL)/(Doses!L23*s_GSFb*s_Fin*s_Fi*s_Fam*s_Foff*Isospec!L24*s_ETiw*(1/24)*s_EFiw*(1/365)),".")</f>
        <v>2552.1057042046191</v>
      </c>
      <c r="E25" s="3">
        <f>IFERROR((s_DL)/(Doses!M23*s_GSFb*s_Fin*s_Fi*s_Fam*s_Foff*Isospec!N24*s_ETiw*(1/24)*s_EFiw*(1/365)),".")</f>
        <v>1936.8293829893944</v>
      </c>
      <c r="F25" s="3">
        <f>IFERROR((s_DL)/(Doses!N23*s_GSFb*s_Fin*s_Fi*s_Fam*s_Foff*Isospec!O24*s_ETiw*(1/24)*s_EFiw*(1/365)),".")</f>
        <v>714.49420542973746</v>
      </c>
      <c r="G25" s="5">
        <f>IFERROR((s_DL)/(Doses!O23*s_GSFb*s_Fin*s_Fi*s_Fam*s_Foff*Isospec!P24*s_ETiw*(1/24)*s_EFiw*(1/365)),".")</f>
        <v>475.56626780877065</v>
      </c>
      <c r="H25" s="2">
        <f t="shared" si="19"/>
        <v>461.4861100594091</v>
      </c>
      <c r="I25" s="3">
        <f t="shared" si="19"/>
        <v>94.427911055571002</v>
      </c>
      <c r="J25" s="3">
        <f t="shared" si="19"/>
        <v>71.662687170607668</v>
      </c>
      <c r="K25" s="3">
        <f t="shared" si="19"/>
        <v>26.436285600900312</v>
      </c>
      <c r="L25" s="5">
        <f t="shared" si="19"/>
        <v>17.595951908924533</v>
      </c>
      <c r="M25" s="2">
        <f>IFERROR(C25*Isospec!C24*Isospec!F24*SSLgram,".")</f>
        <v>1.2628255586836489E-2</v>
      </c>
      <c r="N25" s="3">
        <f>IFERROR(D25*Isospec!C24*Isospec!F24*SSLcm_m,".")</f>
        <v>2.583955983393093E-6</v>
      </c>
      <c r="O25" s="3">
        <f>IFERROR(E25*Isospec!C24*Isospec!F24*SSLgram,".")</f>
        <v>1.9610010136891019E-3</v>
      </c>
      <c r="P25" s="3">
        <f>IFERROR(F25*Isospec!C24*Isospec!F24*SSLgram,".")</f>
        <v>7.234110931135005E-4</v>
      </c>
      <c r="Q25" s="5">
        <f>IFERROR(G25*Isospec!C24*Isospec!F24*SSLgram,".")</f>
        <v>4.8150133483102403E-4</v>
      </c>
      <c r="R25" s="67">
        <f t="shared" si="20"/>
        <v>566567.46633342549</v>
      </c>
    </row>
    <row r="26" spans="1:18">
      <c r="A26" s="87" t="s">
        <v>30</v>
      </c>
      <c r="B26" s="90" t="s">
        <v>59</v>
      </c>
      <c r="C26" s="2">
        <f>IFERROR((s_DL)/(Doses!I24*s_GSFb*s_Fin*s_Fi*s_Fam*s_Foff*Isospec!M25*s_ETiw*(1/24)*s_EFiw*(1/365)),".")</f>
        <v>2760473.8293878757</v>
      </c>
      <c r="D26" s="3">
        <f>IFERROR((s_DL)/(Doses!L24*s_GSFb*s_Fin*s_Fi*s_Fam*s_Foff*Isospec!L25*s_ETiw*(1/24)*s_EFiw*(1/365)),".")</f>
        <v>19913867.840254061</v>
      </c>
      <c r="E26" s="3">
        <f>IFERROR((s_DL)/(Doses!M24*s_GSFb*s_Fin*s_Fi*s_Fam*s_Foff*Isospec!N25*s_ETiw*(1/24)*s_EFiw*(1/365)),".")</f>
        <v>14451322.435009092</v>
      </c>
      <c r="F26" s="3">
        <f>IFERROR((s_DL)/(Doses!N24*s_GSFb*s_Fin*s_Fi*s_Fam*s_Foff*Isospec!O25*s_ETiw*(1/24)*s_EFiw*(1/365)),".")</f>
        <v>4614557.1901002349</v>
      </c>
      <c r="G26" s="5">
        <f>IFERROR((s_DL)/(Doses!O24*s_GSFb*s_Fin*s_Fi*s_Fam*s_Foff*Isospec!P25*s_ETiw*(1/24)*s_EFiw*(1/365)),".")</f>
        <v>3752928.7786450032</v>
      </c>
      <c r="H26" s="2">
        <f t="shared" ref="H26:L27" si="21">IFERROR(C26/_1_bq,".")</f>
        <v>102137.53168735151</v>
      </c>
      <c r="I26" s="3">
        <f t="shared" si="21"/>
        <v>736813.11008940102</v>
      </c>
      <c r="J26" s="3">
        <f t="shared" si="21"/>
        <v>534698.93009533698</v>
      </c>
      <c r="K26" s="3">
        <f t="shared" si="21"/>
        <v>170738.61603370885</v>
      </c>
      <c r="L26" s="5">
        <f t="shared" si="21"/>
        <v>138858.36480986525</v>
      </c>
      <c r="M26" s="2">
        <f>IFERROR(C26*Isospec!C25*Isospec!F25*SSLgram,".")</f>
        <v>1.8700774635668653E-12</v>
      </c>
      <c r="N26" s="3">
        <f>IFERROR(D26*Isospec!C25*Isospec!F25*SSLcm_m,".")</f>
        <v>1.3490609859817444E-14</v>
      </c>
      <c r="O26" s="3">
        <f>IFERROR(E26*Isospec!C25*Isospec!F25*SSLgram,".")</f>
        <v>9.790019422296588E-12</v>
      </c>
      <c r="P26" s="3">
        <f>IFERROR(F26*Isospec!C25*Isospec!F25*SSLgram,".")</f>
        <v>3.1261225205893238E-12</v>
      </c>
      <c r="Q26" s="5">
        <f>IFERROR(G26*Isospec!C25*Isospec!F25*SSLgram,".")</f>
        <v>2.5424140800030026E-12</v>
      </c>
      <c r="R26" s="67">
        <f t="shared" ref="R26:R27" si="22">IF(D26&lt;&gt;".",D26*2.22*100,".")</f>
        <v>4420878660.5364017</v>
      </c>
    </row>
    <row r="27" spans="1:18">
      <c r="A27" s="88" t="s">
        <v>31</v>
      </c>
      <c r="B27" s="90" t="s">
        <v>44</v>
      </c>
      <c r="C27" s="2">
        <f>IFERROR((s_DL)/(Doses!I25*s_GSFb*s_Fin*s_Fi*s_Fam*s_Foff*Isospec!M26*s_ETiw*(1/24)*s_EFiw*(1/365)),".")</f>
        <v>8872228.1879057307</v>
      </c>
      <c r="D27" s="3">
        <f>IFERROR((s_DL)/(Doses!L25*s_GSFb*s_Fin*s_Fi*s_Fam*s_Foff*Isospec!L26*s_ETiw*(1/24)*s_EFiw*(1/365)),".")</f>
        <v>61396323.193612874</v>
      </c>
      <c r="E27" s="3">
        <f>IFERROR((s_DL)/(Doses!M25*s_GSFb*s_Fin*s_Fi*s_Fam*s_Foff*Isospec!N26*s_ETiw*(1/24)*s_EFiw*(1/365)),".")</f>
        <v>46314273.378173947</v>
      </c>
      <c r="F27" s="3">
        <f>IFERROR((s_DL)/(Doses!N25*s_GSFb*s_Fin*s_Fi*s_Fam*s_Foff*Isospec!O26*s_ETiw*(1/24)*s_EFiw*(1/365)),".")</f>
        <v>13964191.545418082</v>
      </c>
      <c r="G27" s="5">
        <f>IFERROR((s_DL)/(Doses!O25*s_GSFb*s_Fin*s_Fi*s_Fam*s_Foff*Isospec!P26*s_ETiw*(1/24)*s_EFiw*(1/365)),".")</f>
        <v>9690988.9674442131</v>
      </c>
      <c r="H27" s="2">
        <f t="shared" si="21"/>
        <v>328272.44295251236</v>
      </c>
      <c r="I27" s="3">
        <f t="shared" si="21"/>
        <v>2271663.9581636786</v>
      </c>
      <c r="J27" s="3">
        <f t="shared" si="21"/>
        <v>1713628.1149924379</v>
      </c>
      <c r="K27" s="3">
        <f t="shared" si="21"/>
        <v>516675.08718046953</v>
      </c>
      <c r="L27" s="5">
        <f t="shared" si="21"/>
        <v>358566.59179543622</v>
      </c>
      <c r="M27" s="2">
        <f>IFERROR(C27*Isospec!C26*Isospec!F26*SSLgram,".")</f>
        <v>5.7771273201548393E-5</v>
      </c>
      <c r="N27" s="3">
        <f>IFERROR(D27*Isospec!C26*Isospec!F26*SSLcm_m,".")</f>
        <v>3.9978049320505814E-7</v>
      </c>
      <c r="O27" s="3">
        <f>IFERROR(E27*Isospec!C26*Isospec!F26*SSLgram,".")</f>
        <v>3.015741349066073E-4</v>
      </c>
      <c r="P27" s="3">
        <f>IFERROR(F27*Isospec!C26*Isospec!F26*SSLgram,".")</f>
        <v>9.0927454493201773E-5</v>
      </c>
      <c r="Q27" s="5">
        <f>IFERROR(G27*Isospec!C26*Isospec!F26*SSLgram,".")</f>
        <v>6.3102611810028861E-5</v>
      </c>
      <c r="R27" s="67">
        <f t="shared" si="22"/>
        <v>13629983748.982059</v>
      </c>
    </row>
    <row r="28" spans="1:18">
      <c r="A28" s="87" t="s">
        <v>35</v>
      </c>
      <c r="B28" s="12" t="s">
        <v>59</v>
      </c>
      <c r="C28" s="2">
        <f>IFERROR((s_DL)/(Doses!I26*s_GSFb*s_Fin*s_Fi*s_Fam*s_Foff*Isospec!M27*s_ETiw*(1/24)*s_EFiw*(1/365)),".")</f>
        <v>102.66506484822519</v>
      </c>
      <c r="D28" s="3">
        <f>IFERROR((s_DL)/(Doses!L26*s_GSFb*s_Fin*s_Fi*s_Fam*s_Foff*Isospec!L27*s_ETiw*(1/24)*s_EFiw*(1/365)),".")</f>
        <v>62.94464698389055</v>
      </c>
      <c r="E28" s="3">
        <f>IFERROR((s_DL)/(Doses!M26*s_GSFb*s_Fin*s_Fi*s_Fam*s_Foff*Isospec!N27*s_ETiw*(1/24)*s_EFiw*(1/365)),".")</f>
        <v>99.893934972444356</v>
      </c>
      <c r="F28" s="3">
        <f>IFERROR((s_DL)/(Doses!N26*s_GSFb*s_Fin*s_Fi*s_Fam*s_Foff*Isospec!O27*s_ETiw*(1/24)*s_EFiw*(1/365)),".")</f>
        <v>38.861777433830547</v>
      </c>
      <c r="G28" s="5">
        <f>IFERROR((s_DL)/(Doses!O26*s_GSFb*s_Fin*s_Fi*s_Fam*s_Foff*Isospec!P27*s_ETiw*(1/24)*s_EFiw*(1/365)),".")</f>
        <v>35.040924801264573</v>
      </c>
      <c r="H28" s="2">
        <f t="shared" ref="H28:L28" si="23">IFERROR(C28/_1_bq,".")</f>
        <v>3.7986073993843359</v>
      </c>
      <c r="I28" s="3">
        <f t="shared" si="23"/>
        <v>2.3289519384039528</v>
      </c>
      <c r="J28" s="3">
        <f t="shared" si="23"/>
        <v>3.6960755939804448</v>
      </c>
      <c r="K28" s="3">
        <f t="shared" si="23"/>
        <v>1.4378857650517316</v>
      </c>
      <c r="L28" s="5">
        <f t="shared" si="23"/>
        <v>1.2965142176467905</v>
      </c>
      <c r="M28" s="2">
        <f>IFERROR(C28*Isospec!C27*Isospec!F27*SSLgram,".")</f>
        <v>4.8318368252220578E-4</v>
      </c>
      <c r="N28" s="3">
        <f>IFERROR(D28*Isospec!C27*Isospec!F27*SSLcm_m,".")</f>
        <v>2.9624319012215839E-7</v>
      </c>
      <c r="O28" s="3">
        <f>IFERROR(E28*Isospec!C27*Isospec!F27*SSLgram,".")</f>
        <v>4.7014161470579184E-4</v>
      </c>
      <c r="P28" s="3">
        <f>IFERROR(F28*Isospec!C27*Isospec!F27*SSLgram,".")</f>
        <v>1.8289938020879954E-4</v>
      </c>
      <c r="Q28" s="5">
        <f>IFERROR(G28*Isospec!C27*Isospec!F27*SSLgram,".")</f>
        <v>1.6491688881206998E-4</v>
      </c>
      <c r="R28" s="67">
        <f t="shared" ref="R28:R31" si="24">IF(D28&lt;&gt;".",D28*2.22*100,".")</f>
        <v>13973.711630423702</v>
      </c>
    </row>
    <row r="29" spans="1:18">
      <c r="A29" s="87" t="s">
        <v>40</v>
      </c>
      <c r="B29" s="90" t="s">
        <v>59</v>
      </c>
      <c r="C29" s="2">
        <f>IFERROR((s_DL)/(Doses!I27*s_GSFb*s_Fin*s_Fi*s_Fam*s_Foff*Isospec!M28*s_ETiw*(1/24)*s_EFiw*(1/365)),".")</f>
        <v>1851464.2307921695</v>
      </c>
      <c r="D29" s="3">
        <f>IFERROR((s_DL)/(Doses!L27*s_GSFb*s_Fin*s_Fi*s_Fam*s_Foff*Isospec!L28*s_ETiw*(1/24)*s_EFiw*(1/365)),".")</f>
        <v>146780.76707293422</v>
      </c>
      <c r="E29" s="3">
        <f>IFERROR((s_DL)/(Doses!M27*s_GSFb*s_Fin*s_Fi*s_Fam*s_Foff*Isospec!N28*s_ETiw*(1/24)*s_EFiw*(1/365)),".")</f>
        <v>1711736.232243899</v>
      </c>
      <c r="F29" s="3">
        <f>IFERROR((s_DL)/(Doses!N27*s_GSFb*s_Fin*s_Fi*s_Fam*s_Foff*Isospec!O28*s_ETiw*(1/24)*s_EFiw*(1/365)),".")</f>
        <v>1549539.0835787917</v>
      </c>
      <c r="G29" s="5">
        <f>IFERROR((s_DL)/(Doses!O27*s_GSFb*s_Fin*s_Fi*s_Fam*s_Foff*Isospec!P28*s_ETiw*(1/24)*s_EFiw*(1/365)),".")</f>
        <v>1255072.1080168723</v>
      </c>
      <c r="H29" s="2">
        <f t="shared" ref="H29:L32" si="25">IFERROR(C29/_1_bq,".")</f>
        <v>68504.176539310341</v>
      </c>
      <c r="I29" s="3">
        <f t="shared" si="25"/>
        <v>5430.8883816985717</v>
      </c>
      <c r="J29" s="3">
        <f t="shared" si="25"/>
        <v>63334.240593024326</v>
      </c>
      <c r="K29" s="3">
        <f t="shared" si="25"/>
        <v>57332.946092415354</v>
      </c>
      <c r="L29" s="5">
        <f t="shared" si="25"/>
        <v>46437.667996624325</v>
      </c>
      <c r="M29" s="2">
        <f>IFERROR(C29*Isospec!C28*Isospec!F28*SSLgram,".")</f>
        <v>8.5336438107836586E-9</v>
      </c>
      <c r="N29" s="3">
        <f>IFERROR(D29*Isospec!C28*Isospec!F28*SSLcm_m,".")</f>
        <v>6.7653199216173637E-13</v>
      </c>
      <c r="O29" s="3">
        <f>IFERROR(E29*Isospec!C28*Isospec!F28*SSLgram,".")</f>
        <v>7.8896189626803512E-9</v>
      </c>
      <c r="P29" s="3">
        <f>IFERROR(F29*Isospec!C28*Isospec!F28*SSLgram,".")</f>
        <v>7.1420308263216302E-9</v>
      </c>
      <c r="Q29" s="5">
        <f>IFERROR(G29*Isospec!C28*Isospec!F28*SSLgram,".")</f>
        <v>5.7847935426129435E-9</v>
      </c>
      <c r="R29" s="67">
        <f t="shared" si="24"/>
        <v>32585330.290191401</v>
      </c>
    </row>
    <row r="30" spans="1:18">
      <c r="A30" s="87" t="s">
        <v>41</v>
      </c>
      <c r="B30" s="12" t="s">
        <v>59</v>
      </c>
      <c r="C30" s="2">
        <f>IFERROR((s_DL)/(Doses!I28*s_GSFb*s_Fin*s_Fi*s_Fam*s_Foff*Isospec!M29*s_ETiw*(1/24)*s_EFiw*(1/365)),".")</f>
        <v>0.43347344689063821</v>
      </c>
      <c r="D30" s="3">
        <f>IFERROR((s_DL)/(Doses!L28*s_GSFb*s_Fin*s_Fi*s_Fam*s_Foff*Isospec!L29*s_ETiw*(1/24)*s_EFiw*(1/365)),".")</f>
        <v>2.5331700178451664</v>
      </c>
      <c r="E30" s="3">
        <f>IFERROR((s_DL)/(Doses!M28*s_GSFb*s_Fin*s_Fi*s_Fam*s_Foff*Isospec!N29*s_ETiw*(1/24)*s_EFiw*(1/365)),".")</f>
        <v>2.0775092750404682</v>
      </c>
      <c r="F30" s="3">
        <f>IFERROR((s_DL)/(Doses!N28*s_GSFb*s_Fin*s_Fi*s_Fam*s_Foff*Isospec!O29*s_ETiw*(1/24)*s_EFiw*(1/365)),".")</f>
        <v>0.71912309338909874</v>
      </c>
      <c r="G30" s="5">
        <f>IFERROR((s_DL)/(Doses!O28*s_GSFb*s_Fin*s_Fi*s_Fam*s_Foff*Isospec!P29*s_ETiw*(1/24)*s_EFiw*(1/365)),".")</f>
        <v>0.52099382324718668</v>
      </c>
      <c r="H30" s="2">
        <f t="shared" si="25"/>
        <v>1.6038517534953629E-2</v>
      </c>
      <c r="I30" s="3">
        <f t="shared" si="25"/>
        <v>9.3727290660271245E-2</v>
      </c>
      <c r="J30" s="3">
        <f t="shared" si="25"/>
        <v>7.6867843176497405E-2</v>
      </c>
      <c r="K30" s="3">
        <f t="shared" si="25"/>
        <v>2.6607554455396681E-2</v>
      </c>
      <c r="L30" s="5">
        <f t="shared" si="25"/>
        <v>1.9276771460145926E-2</v>
      </c>
      <c r="M30" s="2">
        <f>IFERROR(C30*Isospec!C29*Isospec!F29*SSLgram,".")</f>
        <v>1.0429565766384806E-15</v>
      </c>
      <c r="N30" s="3">
        <f>IFERROR(D30*Isospec!C29*Isospec!F29*SSLcm_m,".")</f>
        <v>6.0949208049682108E-18</v>
      </c>
      <c r="O30" s="3">
        <f>IFERROR(E30*Isospec!C29*Isospec!F29*SSLgram,".")</f>
        <v>4.9985805981272765E-15</v>
      </c>
      <c r="P30" s="3">
        <f>IFERROR(F30*Isospec!C29*Isospec!F29*SSLgram,".")</f>
        <v>1.7302424520872469E-15</v>
      </c>
      <c r="Q30" s="5">
        <f>IFERROR(G30*Isospec!C29*Isospec!F29*SSLgram,".")</f>
        <v>1.2535345319104823E-15</v>
      </c>
      <c r="R30" s="67">
        <f t="shared" si="24"/>
        <v>562.36374396162705</v>
      </c>
    </row>
    <row r="31" spans="1:18">
      <c r="A31" s="87" t="s">
        <v>42</v>
      </c>
      <c r="B31" s="90" t="s">
        <v>59</v>
      </c>
      <c r="C31" s="2">
        <f>IFERROR((s_DL)/(Doses!I29*s_GSFb*s_Fin*s_Fi*s_Fam*s_Foff*Isospec!M30*s_ETiw*(1/24)*s_EFiw*(1/365)),".")</f>
        <v>0.26858104801913324</v>
      </c>
      <c r="D31" s="3">
        <f>IFERROR((s_DL)/(Doses!L29*s_GSFb*s_Fin*s_Fi*s_Fam*s_Foff*Isospec!L30*s_ETiw*(1/24)*s_EFiw*(1/365)),".")</f>
        <v>1.7727698685137827</v>
      </c>
      <c r="E31" s="3">
        <f>IFERROR((s_DL)/(Doses!M29*s_GSFb*s_Fin*s_Fi*s_Fam*s_Foff*Isospec!N30*s_ETiw*(1/24)*s_EFiw*(1/365)),".")</f>
        <v>1.4993191394047192</v>
      </c>
      <c r="F31" s="3">
        <f>IFERROR((s_DL)/(Doses!N29*s_GSFb*s_Fin*s_Fi*s_Fam*s_Foff*Isospec!O30*s_ETiw*(1/24)*s_EFiw*(1/365)),".")</f>
        <v>0.5131291142301887</v>
      </c>
      <c r="G31" s="5">
        <f>IFERROR((s_DL)/(Doses!O29*s_GSFb*s_Fin*s_Fi*s_Fam*s_Foff*Isospec!P30*s_ETiw*(1/24)*s_EFiw*(1/365)),".")</f>
        <v>0.37338036558152221</v>
      </c>
      <c r="H31" s="2">
        <f t="shared" si="25"/>
        <v>9.9374987767079405E-3</v>
      </c>
      <c r="I31" s="3">
        <f t="shared" si="25"/>
        <v>6.5592485135010023E-2</v>
      </c>
      <c r="J31" s="3">
        <f t="shared" si="25"/>
        <v>5.5474808157974669E-2</v>
      </c>
      <c r="K31" s="3">
        <f t="shared" si="25"/>
        <v>1.8985777226517002E-2</v>
      </c>
      <c r="L31" s="5">
        <f t="shared" si="25"/>
        <v>1.3815073526516336E-2</v>
      </c>
      <c r="M31" s="2">
        <f>IFERROR(C31*Isospec!C30*Isospec!F30*SSLgram,".")</f>
        <v>3.9060759723329963E-16</v>
      </c>
      <c r="N31" s="3">
        <f>IFERROR(D31*Isospec!C30*Isospec!F30*SSLcm_m,".")</f>
        <v>2.5782064069480879E-18</v>
      </c>
      <c r="O31" s="3">
        <f>IFERROR(E31*Isospec!C30*Isospec!F30*SSLgram,".")</f>
        <v>2.1805166479470124E-15</v>
      </c>
      <c r="P31" s="3">
        <f>IFERROR(F31*Isospec!C30*Isospec!F30*SSLgram,".")</f>
        <v>7.4626311818407587E-16</v>
      </c>
      <c r="Q31" s="5">
        <f>IFERROR(G31*Isospec!C30*Isospec!F30*SSLgram,".")</f>
        <v>5.4302121661056167E-16</v>
      </c>
      <c r="R31" s="67">
        <f t="shared" si="24"/>
        <v>393.55491081005977</v>
      </c>
    </row>
    <row r="32" spans="1:18">
      <c r="A32" s="87" t="s">
        <v>25</v>
      </c>
      <c r="B32" s="12" t="s">
        <v>59</v>
      </c>
      <c r="C32" s="2">
        <f>IFERROR((s_DL)/(Doses!I30*s_GSFb*s_Fin*s_Fi*s_Fam*s_Foff*Isospec!M31*s_ETiw*(1/24)*s_EFiw*(1/365)),".")</f>
        <v>34618.743163204781</v>
      </c>
      <c r="D32" s="3">
        <f>IFERROR((s_DL)/(Doses!L30*s_GSFb*s_Fin*s_Fi*s_Fam*s_Foff*Isospec!L31*s_ETiw*(1/24)*s_EFiw*(1/365)),".")</f>
        <v>197589.63308212269</v>
      </c>
      <c r="E32" s="3">
        <f>IFERROR((s_DL)/(Doses!M30*s_GSFb*s_Fin*s_Fi*s_Fam*s_Foff*Isospec!N31*s_ETiw*(1/24)*s_EFiw*(1/365)),".")</f>
        <v>831705.40697088535</v>
      </c>
      <c r="F32" s="3">
        <f>IFERROR((s_DL)/(Doses!N30*s_GSFb*s_Fin*s_Fi*s_Fam*s_Foff*Isospec!O31*s_ETiw*(1/24)*s_EFiw*(1/365)),".")</f>
        <v>282296.54560712061</v>
      </c>
      <c r="G32" s="5">
        <f>IFERROR((s_DL)/(Doses!O30*s_GSFb*s_Fin*s_Fi*s_Fam*s_Foff*Isospec!P31*s_ETiw*(1/24)*s_EFiw*(1/365)),".")</f>
        <v>263227.12253673334</v>
      </c>
      <c r="H32" s="2">
        <f t="shared" si="25"/>
        <v>1280.8934970385783</v>
      </c>
      <c r="I32" s="3">
        <f t="shared" si="25"/>
        <v>7310.8164240385468</v>
      </c>
      <c r="J32" s="3">
        <f t="shared" si="25"/>
        <v>30773.100057922788</v>
      </c>
      <c r="K32" s="3">
        <f t="shared" si="25"/>
        <v>10444.972187463472</v>
      </c>
      <c r="L32" s="5">
        <f t="shared" si="25"/>
        <v>9739.4035338591439</v>
      </c>
      <c r="M32" s="2">
        <f>IFERROR(C32*Isospec!C31*Isospec!F31*SSLgram,".")</f>
        <v>3.5955746719162276</v>
      </c>
      <c r="N32" s="3">
        <f>IFERROR(D32*Isospec!C31*Isospec!F31*SSLcm_m,".")</f>
        <v>2.0522070278346075E-2</v>
      </c>
      <c r="O32" s="3">
        <f>IFERROR(E32*Isospec!C31*Isospec!F31*SSLgram,".")</f>
        <v>86.382653515242652</v>
      </c>
      <c r="P32" s="3">
        <f>IFERROR(F32*Isospec!C31*Isospec!F31*SSLgram,".")</f>
        <v>29.319906403570407</v>
      </c>
      <c r="Q32" s="5">
        <f>IFERROR(G32*Isospec!C31*Isospec!F31*SSLgram,".")</f>
        <v>27.339316459079999</v>
      </c>
      <c r="R32" s="67">
        <f t="shared" ref="R32" si="26">IF(D32&lt;&gt;".",D32*2.22*100,".")</f>
        <v>43864898.544231236</v>
      </c>
    </row>
    <row r="33" spans="1:18">
      <c r="A33" s="30" t="s">
        <v>14</v>
      </c>
      <c r="B33" s="30" t="s">
        <v>59</v>
      </c>
      <c r="C33" s="76">
        <f>IFERROR(1/SUM(1/C34,1/C35,1/C36,1/C37,1/C38,1/C39,1/C40,1/C41,1/C42,1/C43,1/C44,1/C45),0)</f>
        <v>6.6957756413057767</v>
      </c>
      <c r="D33" s="77">
        <f t="shared" ref="D33:G33" si="27">IFERROR(1/SUM(1/D34,1/D35,1/D36,1/D37,1/D38,1/D39,1/D40,1/D41,1/D42,1/D43,1/D44,1/D45),0)</f>
        <v>15.690067011894884</v>
      </c>
      <c r="E33" s="77">
        <f t="shared" si="27"/>
        <v>19.479177719939219</v>
      </c>
      <c r="F33" s="77">
        <f t="shared" si="27"/>
        <v>6.8222918734085889</v>
      </c>
      <c r="G33" s="77">
        <f t="shared" si="27"/>
        <v>5.6949469171045797</v>
      </c>
      <c r="H33" s="76">
        <f>IFERROR(1/SUM(1/H34,1/H35,1/H36,1/H37,1/H38,1/H39,1/H40,1/H41,1/H42,1/H43,1/H44,1/H45),0)</f>
        <v>0.24774369872831406</v>
      </c>
      <c r="I33" s="77">
        <f t="shared" ref="I33:L33" si="28">IFERROR(1/SUM(1/I34,1/I35,1/I36,1/I37,1/I38,1/I39,1/I40,1/I41,1/I42,1/I43,1/I44,1/I45),0)</f>
        <v>0.58053247944011144</v>
      </c>
      <c r="J33" s="77">
        <f t="shared" si="28"/>
        <v>0.72072957563775175</v>
      </c>
      <c r="K33" s="77">
        <f t="shared" si="28"/>
        <v>0.25242479931611811</v>
      </c>
      <c r="L33" s="77">
        <f t="shared" si="28"/>
        <v>0.21071303593286955</v>
      </c>
      <c r="M33" s="20">
        <f>IFERROR(C33*VLOOKUP("Am-241",Isospec!$A$3:$R$31,3)*VLOOKUP("Am-241",Isospec!$A$3:$R$31,6)*SSLgram,".")</f>
        <v>1.9528133238699061E-6</v>
      </c>
      <c r="N33" s="19">
        <f>IFERROR(D33*VLOOKUP("Am-241",Isospec!$A$3:$R$31,3)*VLOOKUP("Am-241",Isospec!$A$3:$R$31,6)*SSLcm_m,".")</f>
        <v>4.5759854503226453E-9</v>
      </c>
      <c r="O33" s="19">
        <f>IFERROR(E33*VLOOKUP("Am-241",Isospec!$A$3:$R$31,3)*VLOOKUP("Am-241",Isospec!$A$3:$R$31,6)*SSLgram,".")</f>
        <v>5.6810741320043558E-6</v>
      </c>
      <c r="P33" s="19">
        <f>IFERROR(F33*VLOOKUP("Am-241",Isospec!$A$3:$R$31,3)*VLOOKUP("Am-241",Isospec!$A$3:$R$31,6)*SSLgram,".")</f>
        <v>1.9897116007793172E-6</v>
      </c>
      <c r="Q33" s="21">
        <f>IFERROR(G33*VLOOKUP("Am-241",Isospec!$A$3:$R$31,3)*VLOOKUP("Am-241",Isospec!$A$3:$R$31,6)*SSLgram,".")</f>
        <v>1.6609230676499898E-6</v>
      </c>
      <c r="R33" s="94">
        <f t="shared" ref="R33:R63" si="29">IF(D33&lt;&gt;".",D33*2.22*100,".")</f>
        <v>3483.1948766406649</v>
      </c>
    </row>
    <row r="34" spans="1:18">
      <c r="A34" s="31" t="s">
        <v>175</v>
      </c>
      <c r="B34" s="32">
        <v>1</v>
      </c>
      <c r="C34" s="70">
        <f>IFERROR(VLOOKUP("Am-241",$A$4:$L$32,3)/$B34,0)</f>
        <v>1143.4103408650321</v>
      </c>
      <c r="D34" s="71">
        <f>IFERROR(VLOOKUP("Am-241",$A$4:$L$32,4)/$B34,0)</f>
        <v>734.68489855786186</v>
      </c>
      <c r="E34" s="71">
        <f>IFERROR(VLOOKUP("Am-241",$A$4:$L$32,5)/$B34,0)</f>
        <v>992.98587441096777</v>
      </c>
      <c r="F34" s="71">
        <f>IFERROR(VLOOKUP("Am-241",$A$4:$L$32,6)/$B34,0)</f>
        <v>583.78405750967011</v>
      </c>
      <c r="G34" s="71">
        <f>IFERROR(VLOOKUP("Am-241",$A$4:$L$32,7)/$B34,0)</f>
        <v>846.03823581223935</v>
      </c>
      <c r="H34" s="70">
        <f>IFERROR(VLOOKUP("Am-241",$A$4:$L$32,8)/$B34,0)</f>
        <v>42.306182612006232</v>
      </c>
      <c r="I34" s="71">
        <f>IFERROR(VLOOKUP("Am-241",$A$4:$L$32,9)/$B34,0)</f>
        <v>27.183341246640918</v>
      </c>
      <c r="J34" s="71">
        <f>IFERROR(VLOOKUP("Am-241",$A$4:$L$32,10)/$B34,0)</f>
        <v>36.740477353205847</v>
      </c>
      <c r="K34" s="71">
        <f>IFERROR(VLOOKUP("Am-241",$A$4:$L$32,11)/$B34,0)</f>
        <v>21.600010127857814</v>
      </c>
      <c r="L34" s="71">
        <f>IFERROR(VLOOKUP("Am-241",$A$4:$L$32,12)/$B34,0)</f>
        <v>31.303414725052889</v>
      </c>
      <c r="M34" s="70">
        <f>IFERROR(VLOOKUP("Am-241",$A$4:$R$32,13)/$B34,0)</f>
        <v>3.334739794023957E-4</v>
      </c>
      <c r="N34" s="71">
        <f>IFERROR(VLOOKUP("Am-241",$A$4:$R$32,14)/$B34,0)</f>
        <v>2.1426979271814649E-7</v>
      </c>
      <c r="O34" s="71">
        <f>IFERROR(VLOOKUP("Am-241",$A$4:$R$32,15)/$B34,0)</f>
        <v>2.8960290037229958E-4</v>
      </c>
      <c r="P34" s="71">
        <f>IFERROR(VLOOKUP("Am-241",$A$4:$R$32,16)/$B34,0)</f>
        <v>1.7025977972365245E-4</v>
      </c>
      <c r="Q34" s="71">
        <f>IFERROR(VLOOKUP("Am-241",$A$4:$R$32,17)/$B34,0)</f>
        <v>2.4674583317958E-4</v>
      </c>
      <c r="R34" s="95">
        <f t="shared" si="29"/>
        <v>163100.04747984535</v>
      </c>
    </row>
    <row r="35" spans="1:18">
      <c r="A35" s="31" t="s">
        <v>176</v>
      </c>
      <c r="B35" s="32">
        <v>1</v>
      </c>
      <c r="C35" s="70">
        <f>IFERROR(VLOOKUP("Np-237",$A$4:$L$32,3)/$B35,0)</f>
        <v>497.44647621845144</v>
      </c>
      <c r="D35" s="71">
        <f>IFERROR(VLOOKUP("Np-237",$A$4:$L$32,4)/$B35,0)</f>
        <v>347.34542055198807</v>
      </c>
      <c r="E35" s="71">
        <f>IFERROR(VLOOKUP("Np-237",$A$4:$L$32,5)/$B35,0)</f>
        <v>756.68046972075297</v>
      </c>
      <c r="F35" s="71">
        <f>IFERROR(VLOOKUP("Np-237",$A$4:$L$32,6)/$B35,0)</f>
        <v>280.38495829351143</v>
      </c>
      <c r="G35" s="71">
        <f>IFERROR(VLOOKUP("Np-237",$A$4:$L$32,7)/$B35,0)</f>
        <v>264.10473334552012</v>
      </c>
      <c r="H35" s="70">
        <f>IFERROR(VLOOKUP("Np-237",$A$4:$L$32,8)/$B35,0)</f>
        <v>18.405519620082721</v>
      </c>
      <c r="I35" s="71">
        <f>IFERROR(VLOOKUP("Np-237",$A$4:$L$32,9)/$B35,0)</f>
        <v>12.851780560423572</v>
      </c>
      <c r="J35" s="71">
        <f>IFERROR(VLOOKUP("Np-237",$A$4:$L$32,10)/$B35,0)</f>
        <v>27.997177379667889</v>
      </c>
      <c r="K35" s="71">
        <f>IFERROR(VLOOKUP("Np-237",$A$4:$L$32,11)/$B35,0)</f>
        <v>10.374243456859933</v>
      </c>
      <c r="L35" s="71">
        <f>IFERROR(VLOOKUP("Np-237",$A$4:$L$32,12)/$B35,0)</f>
        <v>9.7718751337842544</v>
      </c>
      <c r="M35" s="70">
        <f>IFERROR(VLOOKUP("Np-237",$A$4:$R$32,13)/$B35,0)</f>
        <v>0.7077461525902019</v>
      </c>
      <c r="N35" s="71">
        <f>IFERROR(VLOOKUP("Np-237",$A$4:$R$32,14)/$B35,0)</f>
        <v>4.9418861479187367E-4</v>
      </c>
      <c r="O35" s="71">
        <f>IFERROR(VLOOKUP("Np-237",$A$4:$R$32,15)/$B35,0)</f>
        <v>1.0765734944111467</v>
      </c>
      <c r="P35" s="71">
        <f>IFERROR(VLOOKUP("Np-237",$A$4:$R$32,16)/$B35,0)</f>
        <v>0.39892005464574293</v>
      </c>
      <c r="Q35" s="71">
        <f>IFERROR(VLOOKUP("Np-237",$A$4:$R$32,17)/$B35,0)</f>
        <v>0.37575722784709886</v>
      </c>
      <c r="R35" s="95">
        <f t="shared" si="29"/>
        <v>77110.683362541356</v>
      </c>
    </row>
    <row r="36" spans="1:18">
      <c r="A36" s="31" t="s">
        <v>177</v>
      </c>
      <c r="B36" s="32">
        <v>1</v>
      </c>
      <c r="C36" s="70">
        <f>IFERROR(VLOOKUP("Pa-233",$A$4:$L$32,3)/$B36,0)</f>
        <v>13.893986903412578</v>
      </c>
      <c r="D36" s="71">
        <f>IFERROR(VLOOKUP("Pa-233",$A$4:$L$32,4)/$B36,0)</f>
        <v>32.845488900886821</v>
      </c>
      <c r="E36" s="71">
        <f>IFERROR(VLOOKUP("Pa-233",$A$4:$L$32,5)/$B36,0)</f>
        <v>40.209206689807793</v>
      </c>
      <c r="F36" s="71">
        <f>IFERROR(VLOOKUP("Pa-233",$A$4:$L$32,6)/$B36,0)</f>
        <v>13.383411621725825</v>
      </c>
      <c r="G36" s="71">
        <f>IFERROR(VLOOKUP("Pa-233",$A$4:$L$32,7)/$B36,0)</f>
        <v>11.518842025306137</v>
      </c>
      <c r="H36" s="70">
        <f>IFERROR(VLOOKUP("Pa-233",$A$4:$L$32,8)/$B36,0)</f>
        <v>0.5140775154262659</v>
      </c>
      <c r="I36" s="71">
        <f>IFERROR(VLOOKUP("Pa-233",$A$4:$L$32,9)/$B36,0)</f>
        <v>1.2152830893328137</v>
      </c>
      <c r="J36" s="71">
        <f>IFERROR(VLOOKUP("Pa-233",$A$4:$L$32,10)/$B36,0)</f>
        <v>1.4877406475228898</v>
      </c>
      <c r="K36" s="71">
        <f>IFERROR(VLOOKUP("Pa-233",$A$4:$L$32,11)/$B36,0)</f>
        <v>0.49518623000385603</v>
      </c>
      <c r="L36" s="71">
        <f>IFERROR(VLOOKUP("Pa-233",$A$4:$L$32,12)/$B36,0)</f>
        <v>0.42619715493632748</v>
      </c>
      <c r="M36" s="70">
        <f>IFERROR(VLOOKUP("Pa-233",$A$4:$R$32,13)/$B36,0)</f>
        <v>6.6970047694079787E-10</v>
      </c>
      <c r="N36" s="71">
        <f>IFERROR(VLOOKUP("Pa-233",$A$4:$R$32,14)/$B36,0)</f>
        <v>1.583176933675882E-12</v>
      </c>
      <c r="O36" s="71">
        <f>IFERROR(VLOOKUP("Pa-233",$A$4:$R$32,15)/$B36,0)</f>
        <v>1.9381135943752351E-9</v>
      </c>
      <c r="P36" s="71">
        <f>IFERROR(VLOOKUP("Pa-233",$A$4:$R$32,16)/$B36,0)</f>
        <v>6.4509036955860245E-10</v>
      </c>
      <c r="Q36" s="71">
        <f>IFERROR(VLOOKUP("Pa-233",$A$4:$R$32,17)/$B36,0)</f>
        <v>5.5521673165378508E-10</v>
      </c>
      <c r="R36" s="95">
        <f t="shared" si="29"/>
        <v>7291.6985359968749</v>
      </c>
    </row>
    <row r="37" spans="1:18">
      <c r="A37" s="31" t="s">
        <v>178</v>
      </c>
      <c r="B37" s="32">
        <v>1</v>
      </c>
      <c r="C37" s="70">
        <f>IFERROR(VLOOKUP("U-233",$A$4:$L$32,3)/$B37,0)</f>
        <v>34618.743163204781</v>
      </c>
      <c r="D37" s="71">
        <f>IFERROR(VLOOKUP("U-233",$A$4:$L$32,4)/$B37,0)</f>
        <v>197589.63308212269</v>
      </c>
      <c r="E37" s="71">
        <f>IFERROR(VLOOKUP("U-233",$A$4:$L$32,5)/$B37,0)</f>
        <v>831705.40697088535</v>
      </c>
      <c r="F37" s="71">
        <f>IFERROR(VLOOKUP("U-233",$A$4:$L$32,6)/$B37,0)</f>
        <v>282296.54560712061</v>
      </c>
      <c r="G37" s="71">
        <f>IFERROR(VLOOKUP("U-233",$A$4:$L$32,7)/$B37,0)</f>
        <v>263227.12253673334</v>
      </c>
      <c r="H37" s="70">
        <f>IFERROR(VLOOKUP("U-233",$A$4:$L$32,8)/$B37,0)</f>
        <v>1280.8934970385783</v>
      </c>
      <c r="I37" s="71">
        <f>IFERROR(VLOOKUP("U-233",$A$4:$L$32,9)/$B37,0)</f>
        <v>7310.8164240385468</v>
      </c>
      <c r="J37" s="71">
        <f>IFERROR(VLOOKUP("U-233",$A$4:$L$32,10)/$B37,0)</f>
        <v>30773.100057922788</v>
      </c>
      <c r="K37" s="71">
        <f>IFERROR(VLOOKUP("U-233",$A$4:$L$32,11)/$B37,0)</f>
        <v>10444.972187463472</v>
      </c>
      <c r="L37" s="71">
        <f>IFERROR(VLOOKUP("U-233",$A$4:$L$32,12)/$B37,0)</f>
        <v>9739.4035338591439</v>
      </c>
      <c r="M37" s="70">
        <f>IFERROR(VLOOKUP("U-233",$A$4:$R$32,13)/$B37,0)</f>
        <v>3.5955746719162276</v>
      </c>
      <c r="N37" s="71">
        <f>IFERROR(VLOOKUP("U-233",$A$4:$R$32,14)/$B37,0)</f>
        <v>2.0522070278346075E-2</v>
      </c>
      <c r="O37" s="71">
        <f>IFERROR(VLOOKUP("U-233",$A$4:$R$32,15)/$B37,0)</f>
        <v>86.382653515242652</v>
      </c>
      <c r="P37" s="71">
        <f>IFERROR(VLOOKUP("U-233",$A$4:$R$32,16)/$B37,0)</f>
        <v>29.319906403570407</v>
      </c>
      <c r="Q37" s="71">
        <f>IFERROR(VLOOKUP("U-233",$A$4:$R$32,17)/$B37,0)</f>
        <v>27.339316459079999</v>
      </c>
      <c r="R37" s="95">
        <f t="shared" si="29"/>
        <v>43864898.544231236</v>
      </c>
    </row>
    <row r="38" spans="1:18">
      <c r="A38" s="31" t="s">
        <v>179</v>
      </c>
      <c r="B38" s="32">
        <v>1</v>
      </c>
      <c r="C38" s="70">
        <f>IFERROR(VLOOKUP("Th-229",$A$4:$L$32,3)/$B38,0)</f>
        <v>102.66506484822519</v>
      </c>
      <c r="D38" s="71">
        <f>IFERROR(VLOOKUP("Th-229",$A$4:$L$32,4)/$B38,0)</f>
        <v>62.94464698389055</v>
      </c>
      <c r="E38" s="71">
        <f>IFERROR(VLOOKUP("Th-229",$A$4:$L$32,5)/$B38,0)</f>
        <v>99.893934972444356</v>
      </c>
      <c r="F38" s="71">
        <f>IFERROR(VLOOKUP("Th-229",$A$4:$L$32,6)/$B38,0)</f>
        <v>38.861777433830547</v>
      </c>
      <c r="G38" s="71">
        <f>IFERROR(VLOOKUP("Th-229",$A$4:$L$32,7)/$B38,0)</f>
        <v>35.040924801264573</v>
      </c>
      <c r="H38" s="70">
        <f>IFERROR(VLOOKUP("Th-229",$A$4:$L$32,8)/$B38,0)</f>
        <v>3.7986073993843359</v>
      </c>
      <c r="I38" s="71">
        <f>IFERROR(VLOOKUP("Th-229",$A$4:$L$32,9)/$B38,0)</f>
        <v>2.3289519384039528</v>
      </c>
      <c r="J38" s="71">
        <f>IFERROR(VLOOKUP("Th-229",$A$4:$L$32,10)/$B38,0)</f>
        <v>3.6960755939804448</v>
      </c>
      <c r="K38" s="71">
        <f>IFERROR(VLOOKUP("Th-229",$A$4:$L$32,11)/$B38,0)</f>
        <v>1.4378857650517316</v>
      </c>
      <c r="L38" s="71">
        <f>IFERROR(VLOOKUP("Th-229",$A$4:$L$32,12)/$B38,0)</f>
        <v>1.2965142176467905</v>
      </c>
      <c r="M38" s="70">
        <f>IFERROR(VLOOKUP("Th-229",$A$4:$R$32,13)/$B38,0)</f>
        <v>4.8318368252220578E-4</v>
      </c>
      <c r="N38" s="71">
        <f>IFERROR(VLOOKUP("Th-229",$A$4:$R$32,14)/$B38,0)</f>
        <v>2.9624319012215839E-7</v>
      </c>
      <c r="O38" s="71">
        <f>IFERROR(VLOOKUP("Th-229",$A$4:$R$32,15)/$B38,0)</f>
        <v>4.7014161470579184E-4</v>
      </c>
      <c r="P38" s="71">
        <f>IFERROR(VLOOKUP("Th-229",$A$4:$R$32,16)/$B38,0)</f>
        <v>1.8289938020879954E-4</v>
      </c>
      <c r="Q38" s="71">
        <f>IFERROR(VLOOKUP("Th-229",$A$4:$R$32,17)/$B38,0)</f>
        <v>1.6491688881206998E-4</v>
      </c>
      <c r="R38" s="95">
        <f t="shared" si="29"/>
        <v>13973.711630423702</v>
      </c>
    </row>
    <row r="39" spans="1:18">
      <c r="A39" s="31" t="s">
        <v>180</v>
      </c>
      <c r="B39" s="32">
        <v>1</v>
      </c>
      <c r="C39" s="70">
        <f>IFERROR(VLOOKUP("Ra-225",$A$4:$L$32,3)/$B39,0)</f>
        <v>2702.9654954959287</v>
      </c>
      <c r="D39" s="71">
        <f>IFERROR(VLOOKUP("Ra-225",$A$4:$L$32,4)/$B39,0)</f>
        <v>2104.3555748904296</v>
      </c>
      <c r="E39" s="71">
        <f>IFERROR(VLOOKUP("Ra-225",$A$4:$L$32,5)/$B39,0)</f>
        <v>6646.1493117219716</v>
      </c>
      <c r="F39" s="71">
        <f>IFERROR(VLOOKUP("Ra-225",$A$4:$L$32,6)/$B39,0)</f>
        <v>4588.7038434745573</v>
      </c>
      <c r="G39" s="71">
        <f>IFERROR(VLOOKUP("Ra-225",$A$4:$L$32,7)/$B39,0)</f>
        <v>5037.6066920243838</v>
      </c>
      <c r="H39" s="70">
        <f>IFERROR(VLOOKUP("Ra-225",$A$4:$L$32,8)/$B39,0)</f>
        <v>100.00972333334947</v>
      </c>
      <c r="I39" s="71">
        <f>IFERROR(VLOOKUP("Ra-225",$A$4:$L$32,9)/$B39,0)</f>
        <v>77.861156270945969</v>
      </c>
      <c r="J39" s="71">
        <f>IFERROR(VLOOKUP("Ra-225",$A$4:$L$32,10)/$B39,0)</f>
        <v>245.9075245337132</v>
      </c>
      <c r="K39" s="71">
        <f>IFERROR(VLOOKUP("Ra-225",$A$4:$L$32,11)/$B39,0)</f>
        <v>169.78204220855878</v>
      </c>
      <c r="L39" s="71">
        <f>IFERROR(VLOOKUP("Ra-225",$A$4:$L$32,12)/$B39,0)</f>
        <v>186.3914476049024</v>
      </c>
      <c r="M39" s="70">
        <f>IFERROR(VLOOKUP("Ra-225",$A$4:$R$32,13)/$B39,0)</f>
        <v>6.9514348236219636E-8</v>
      </c>
      <c r="N39" s="71">
        <f>IFERROR(VLOOKUP("Ra-225",$A$4:$R$32,14)/$B39,0)</f>
        <v>5.4119413099990077E-11</v>
      </c>
      <c r="O39" s="71">
        <f>IFERROR(VLOOKUP("Ra-225",$A$4:$R$32,15)/$B39,0)</f>
        <v>1.7092439339488731E-7</v>
      </c>
      <c r="P39" s="71">
        <f>IFERROR(VLOOKUP("Ra-225",$A$4:$R$32,16)/$B39,0)</f>
        <v>1.1801140542108349E-7</v>
      </c>
      <c r="Q39" s="71">
        <f>IFERROR(VLOOKUP("Ra-225",$A$4:$R$32,17)/$B39,0)</f>
        <v>1.2955620278913064E-7</v>
      </c>
      <c r="R39" s="95">
        <f t="shared" si="29"/>
        <v>467166.9376256754</v>
      </c>
    </row>
    <row r="40" spans="1:18">
      <c r="A40" s="31" t="s">
        <v>181</v>
      </c>
      <c r="B40" s="32">
        <v>1</v>
      </c>
      <c r="C40" s="70">
        <f>IFERROR(VLOOKUP("Ac-225",$A$4:$L$32,3)/$B40,0)</f>
        <v>1571.6437969557437</v>
      </c>
      <c r="D40" s="71">
        <f>IFERROR(VLOOKUP("Ac-225",$A$4:$L$32,4)/$B40,0)</f>
        <v>1708.2492632561168</v>
      </c>
      <c r="E40" s="71">
        <f>IFERROR(VLOOKUP("Ac-225",$A$4:$L$32,5)/$B40,0)</f>
        <v>3003.2421710717972</v>
      </c>
      <c r="F40" s="71">
        <f>IFERROR(VLOOKUP("Ac-225",$A$4:$L$32,6)/$B40,0)</f>
        <v>1097.5648303736307</v>
      </c>
      <c r="G40" s="71">
        <f>IFERROR(VLOOKUP("Ac-225",$A$4:$L$32,7)/$B40,0)</f>
        <v>963.9931858300157</v>
      </c>
      <c r="H40" s="70">
        <f>IFERROR(VLOOKUP("Ac-225",$A$4:$L$32,8)/$B40,0)</f>
        <v>58.150820487362573</v>
      </c>
      <c r="I40" s="71">
        <f>IFERROR(VLOOKUP("Ac-225",$A$4:$L$32,9)/$B40,0)</f>
        <v>63.205222740476387</v>
      </c>
      <c r="J40" s="71">
        <f>IFERROR(VLOOKUP("Ac-225",$A$4:$L$32,10)/$B40,0)</f>
        <v>111.11996032965661</v>
      </c>
      <c r="K40" s="71">
        <f>IFERROR(VLOOKUP("Ac-225",$A$4:$L$32,11)/$B40,0)</f>
        <v>40.609898723824379</v>
      </c>
      <c r="L40" s="71">
        <f>IFERROR(VLOOKUP("Ac-225",$A$4:$L$32,12)/$B40,0)</f>
        <v>35.667747875710617</v>
      </c>
      <c r="M40" s="70">
        <f>IFERROR(VLOOKUP("Ac-225",$A$4:$R$32,13)/$B40,0)</f>
        <v>2.7127002522798158E-8</v>
      </c>
      <c r="N40" s="71">
        <f>IFERROR(VLOOKUP("Ac-225",$A$4:$R$32,14)/$B40,0)</f>
        <v>2.9484850297297791E-11</v>
      </c>
      <c r="O40" s="71">
        <f>IFERROR(VLOOKUP("Ac-225",$A$4:$R$32,15)/$B40,0)</f>
        <v>5.1836782678774233E-8</v>
      </c>
      <c r="P40" s="71">
        <f>IFERROR(VLOOKUP("Ac-225",$A$4:$R$32,16)/$B40,0)</f>
        <v>1.8944269674942392E-8</v>
      </c>
      <c r="Q40" s="71">
        <f>IFERROR(VLOOKUP("Ac-225",$A$4:$R$32,17)/$B40,0)</f>
        <v>1.6638786495148457E-8</v>
      </c>
      <c r="R40" s="95">
        <f t="shared" si="29"/>
        <v>379231.33644285792</v>
      </c>
    </row>
    <row r="41" spans="1:18">
      <c r="A41" s="31" t="s">
        <v>182</v>
      </c>
      <c r="B41" s="32">
        <v>1</v>
      </c>
      <c r="C41" s="70">
        <f>IFERROR(VLOOKUP("Fr-221",$A$4:$L$32,3)/$B41,0)</f>
        <v>829.96979370352585</v>
      </c>
      <c r="D41" s="71">
        <f>IFERROR(VLOOKUP("Fr-221",$A$4:$L$32,4)/$B41,0)</f>
        <v>2693.5402627562357</v>
      </c>
      <c r="E41" s="71">
        <f>IFERROR(VLOOKUP("Fr-221",$A$4:$L$32,5)/$B41,0)</f>
        <v>2428.7507956447612</v>
      </c>
      <c r="F41" s="71">
        <f>IFERROR(VLOOKUP("Fr-221",$A$4:$L$32,6)/$B41,0)</f>
        <v>933.80754781237988</v>
      </c>
      <c r="G41" s="71">
        <f>IFERROR(VLOOKUP("Fr-221",$A$4:$L$32,7)/$B41,0)</f>
        <v>793.11051482309551</v>
      </c>
      <c r="H41" s="70">
        <f>IFERROR(VLOOKUP("Fr-221",$A$4:$L$32,8)/$B41,0)</f>
        <v>30.708882367030487</v>
      </c>
      <c r="I41" s="71">
        <f>IFERROR(VLOOKUP("Fr-221",$A$4:$L$32,9)/$B41,0)</f>
        <v>99.660989721980826</v>
      </c>
      <c r="J41" s="71">
        <f>IFERROR(VLOOKUP("Fr-221",$A$4:$L$32,10)/$B41,0)</f>
        <v>89.863779438856255</v>
      </c>
      <c r="K41" s="71">
        <f>IFERROR(VLOOKUP("Fr-221",$A$4:$L$32,11)/$B41,0)</f>
        <v>34.550879269058093</v>
      </c>
      <c r="L41" s="71">
        <f>IFERROR(VLOOKUP("Fr-221",$A$4:$L$32,12)/$B41,0)</f>
        <v>29.345089048454565</v>
      </c>
      <c r="M41" s="70">
        <f>IFERROR(VLOOKUP("Fr-221",$A$4:$R$32,13)/$B41,0)</f>
        <v>4.7879908882883146E-12</v>
      </c>
      <c r="N41" s="71">
        <f>IFERROR(VLOOKUP("Fr-221",$A$4:$R$32,14)/$B41,0)</f>
        <v>1.553869349602064E-14</v>
      </c>
      <c r="O41" s="71">
        <f>IFERROR(VLOOKUP("Fr-221",$A$4:$R$32,15)/$B41,0)</f>
        <v>1.4011156511587525E-11</v>
      </c>
      <c r="P41" s="71">
        <f>IFERROR(VLOOKUP("Fr-221",$A$4:$R$32,16)/$B41,0)</f>
        <v>5.3870177737307399E-12</v>
      </c>
      <c r="Q41" s="71">
        <f>IFERROR(VLOOKUP("Fr-221",$A$4:$R$32,17)/$B41,0)</f>
        <v>4.5753543649265739E-12</v>
      </c>
      <c r="R41" s="95">
        <f t="shared" si="29"/>
        <v>597965.93833188433</v>
      </c>
    </row>
    <row r="42" spans="1:18">
      <c r="A42" s="31" t="s">
        <v>183</v>
      </c>
      <c r="B42" s="32">
        <v>1</v>
      </c>
      <c r="C42" s="70">
        <f>IFERROR(VLOOKUP("At-217",$A$4:$L$32,3)/$B42,0)</f>
        <v>13229471.20473511</v>
      </c>
      <c r="D42" s="71">
        <f>IFERROR(VLOOKUP("At-217",$A$4:$L$32,4)/$B42,0)</f>
        <v>50570491.360663973</v>
      </c>
      <c r="E42" s="71">
        <f>IFERROR(VLOOKUP("At-217",$A$4:$L$32,5)/$B42,0)</f>
        <v>47190570.689741537</v>
      </c>
      <c r="F42" s="71">
        <f>IFERROR(VLOOKUP("At-217",$A$4:$L$32,6)/$B42,0)</f>
        <v>17719571.028549541</v>
      </c>
      <c r="G42" s="71">
        <f>IFERROR(VLOOKUP("At-217",$A$4:$L$32,7)/$B42,0)</f>
        <v>13383957.203063864</v>
      </c>
      <c r="H42" s="70">
        <f>IFERROR(VLOOKUP("At-217",$A$4:$L$32,8)/$B42,0)</f>
        <v>489490.43457519956</v>
      </c>
      <c r="I42" s="71">
        <f>IFERROR(VLOOKUP("At-217",$A$4:$L$32,9)/$B42,0)</f>
        <v>1871108.1803445688</v>
      </c>
      <c r="J42" s="71">
        <f>IFERROR(VLOOKUP("At-217",$A$4:$L$32,10)/$B42,0)</f>
        <v>1746051.1155204386</v>
      </c>
      <c r="K42" s="71">
        <f>IFERROR(VLOOKUP("At-217",$A$4:$L$32,11)/$B42,0)</f>
        <v>655624.12805633363</v>
      </c>
      <c r="L42" s="71">
        <f>IFERROR(VLOOKUP("At-217",$A$4:$L$32,12)/$B42,0)</f>
        <v>495206.41651336348</v>
      </c>
      <c r="M42" s="70">
        <f>IFERROR(VLOOKUP("At-217",$A$4:$R$32,13)/$B42,0)</f>
        <v>8.2329630434774788E-12</v>
      </c>
      <c r="N42" s="71">
        <f>IFERROR(VLOOKUP("At-217",$A$4:$R$32,14)/$B42,0)</f>
        <v>3.1471022538967759E-14</v>
      </c>
      <c r="O42" s="71">
        <f>IFERROR(VLOOKUP("At-217",$A$4:$R$32,15)/$B42,0)</f>
        <v>2.9367630684300865E-11</v>
      </c>
      <c r="P42" s="71">
        <f>IFERROR(VLOOKUP("At-217",$A$4:$R$32,16)/$B42,0)</f>
        <v>1.1027241464655624E-11</v>
      </c>
      <c r="Q42" s="71">
        <f>IFERROR(VLOOKUP("At-217",$A$4:$R$32,17)/$B42,0)</f>
        <v>8.3291027527139385E-12</v>
      </c>
      <c r="R42" s="95">
        <f t="shared" si="29"/>
        <v>11226649082.067404</v>
      </c>
    </row>
    <row r="43" spans="1:18">
      <c r="A43" s="31" t="s">
        <v>184</v>
      </c>
      <c r="B43" s="33">
        <v>0.99987999999999999</v>
      </c>
      <c r="C43" s="70">
        <f>IFERROR(VLOOKUP("Bi-213",$A$4:$L$32,3)/$B43,0)</f>
        <v>69.932029745990235</v>
      </c>
      <c r="D43" s="71">
        <f>IFERROR(VLOOKUP("Bi-213",$A$4:$L$32,4)/$B43,0)</f>
        <v>287.73268935200099</v>
      </c>
      <c r="E43" s="71">
        <f>IFERROR(VLOOKUP("Bi-213",$A$4:$L$32,5)/$B43,0)</f>
        <v>315.21984983002653</v>
      </c>
      <c r="F43" s="71">
        <f>IFERROR(VLOOKUP("Bi-213",$A$4:$L$32,6)/$B43,0)</f>
        <v>104.34027238377317</v>
      </c>
      <c r="G43" s="71">
        <f>IFERROR(VLOOKUP("Bi-213",$A$4:$L$32,7)/$B43,0)</f>
        <v>78.975543475323448</v>
      </c>
      <c r="H43" s="70">
        <f>IFERROR(VLOOKUP("Bi-213",$A$4:$L$32,8)/$B43,0)</f>
        <v>2.5874851006016417</v>
      </c>
      <c r="I43" s="71">
        <f>IFERROR(VLOOKUP("Bi-213",$A$4:$L$32,9)/$B43,0)</f>
        <v>10.646109506024047</v>
      </c>
      <c r="J43" s="71">
        <f>IFERROR(VLOOKUP("Bi-213",$A$4:$L$32,10)/$B43,0)</f>
        <v>11.663134443710995</v>
      </c>
      <c r="K43" s="71">
        <f>IFERROR(VLOOKUP("Bi-213",$A$4:$L$32,11)/$B43,0)</f>
        <v>3.8605900781996114</v>
      </c>
      <c r="L43" s="71">
        <f>IFERROR(VLOOKUP("Bi-213",$A$4:$L$32,12)/$B43,0)</f>
        <v>2.9220951085869702</v>
      </c>
      <c r="M43" s="70">
        <f>IFERROR(VLOOKUP("Bi-213",$A$4:$R$32,13)/$B43,0)</f>
        <v>3.6176621332225911E-12</v>
      </c>
      <c r="N43" s="71">
        <f>IFERROR(VLOOKUP("Bi-213",$A$4:$R$32,14)/$B43,0)</f>
        <v>1.4884733912913734E-14</v>
      </c>
      <c r="O43" s="71">
        <f>IFERROR(VLOOKUP("Bi-213",$A$4:$R$32,15)/$B43,0)</f>
        <v>1.6306675474918333E-11</v>
      </c>
      <c r="P43" s="71">
        <f>IFERROR(VLOOKUP("Bi-213",$A$4:$R$32,16)/$B43,0)</f>
        <v>5.3976390181145892E-12</v>
      </c>
      <c r="Q43" s="71">
        <f>IFERROR(VLOOKUP("Bi-213",$A$4:$R$32,17)/$B43,0)</f>
        <v>4.0854932156138936E-12</v>
      </c>
      <c r="R43" s="95">
        <f t="shared" si="29"/>
        <v>63876.657036144228</v>
      </c>
    </row>
    <row r="44" spans="1:18">
      <c r="A44" s="31" t="s">
        <v>185</v>
      </c>
      <c r="B44" s="32">
        <v>0.97898250799999997</v>
      </c>
      <c r="C44" s="70">
        <f>IFERROR(VLOOKUP("Po-213",$A$4:$L$32,3)/$B44,0)</f>
        <v>1307677830.1188853</v>
      </c>
      <c r="D44" s="71">
        <f>IFERROR(VLOOKUP("Po-213",$A$4:$L$32,4)/$B44,0)</f>
        <v>10491668687.585455</v>
      </c>
      <c r="E44" s="71">
        <f>IFERROR(VLOOKUP("Po-213",$A$4:$L$32,5)/$B44,0)</f>
        <v>7613818454.9436893</v>
      </c>
      <c r="F44" s="71">
        <f>IFERROR(VLOOKUP("Po-213",$A$4:$L$32,6)/$B44,0)</f>
        <v>2593016849.9778433</v>
      </c>
      <c r="G44" s="71">
        <f>IFERROR(VLOOKUP("Po-213",$A$4:$L$32,7)/$B44,0)</f>
        <v>1911153342.4515176</v>
      </c>
      <c r="H44" s="70">
        <f>IFERROR(VLOOKUP("Po-213",$A$4:$L$32,8)/$B44,0)</f>
        <v>48384079.714398809</v>
      </c>
      <c r="I44" s="71">
        <f>IFERROR(VLOOKUP("Po-213",$A$4:$L$32,9)/$B44,0)</f>
        <v>388191741.44066226</v>
      </c>
      <c r="J44" s="71">
        <f>IFERROR(VLOOKUP("Po-213",$A$4:$L$32,10)/$B44,0)</f>
        <v>281711282.8329168</v>
      </c>
      <c r="K44" s="71">
        <f>IFERROR(VLOOKUP("Po-213",$A$4:$L$32,11)/$B44,0)</f>
        <v>95941623.44918029</v>
      </c>
      <c r="L44" s="71">
        <f>IFERROR(VLOOKUP("Po-213",$A$4:$L$32,12)/$B44,0)</f>
        <v>70712673.670706213</v>
      </c>
      <c r="M44" s="70">
        <f>IFERROR(VLOOKUP("Po-213",$A$4:$R$32,13)/$B44,0)</f>
        <v>1.0386783495396253E-13</v>
      </c>
      <c r="N44" s="71">
        <f>IFERROR(VLOOKUP("Po-213",$A$4:$R$32,14)/$B44,0)</f>
        <v>8.333450996372022E-16</v>
      </c>
      <c r="O44" s="71">
        <f>IFERROR(VLOOKUP("Po-213",$A$4:$R$32,15)/$B44,0)</f>
        <v>6.0475968960613791E-13</v>
      </c>
      <c r="P44" s="71">
        <f>IFERROR(VLOOKUP("Po-213",$A$4:$R$32,16)/$B44,0)</f>
        <v>2.0596131554960799E-13</v>
      </c>
      <c r="Q44" s="71">
        <f>IFERROR(VLOOKUP("Po-213",$A$4:$R$32,17)/$B44,0)</f>
        <v>1.5180142644723211E-13</v>
      </c>
      <c r="R44" s="95">
        <f t="shared" si="29"/>
        <v>2329150448643.9712</v>
      </c>
    </row>
    <row r="45" spans="1:18">
      <c r="A45" s="31" t="s">
        <v>186</v>
      </c>
      <c r="B45" s="32">
        <v>2.0897492E-2</v>
      </c>
      <c r="C45" s="70">
        <f>IFERROR(VLOOKUP("Tl-209",$A$4:$L$32,3)/$B45,0)</f>
        <v>20.742845452011093</v>
      </c>
      <c r="D45" s="71">
        <f>IFERROR(VLOOKUP("Tl-209",$A$4:$L$32,4)/$B45,0)</f>
        <v>121.21885333633176</v>
      </c>
      <c r="E45" s="71">
        <f>IFERROR(VLOOKUP("Tl-209",$A$4:$L$32,5)/$B45,0)</f>
        <v>99.414287371923308</v>
      </c>
      <c r="F45" s="71">
        <f>IFERROR(VLOOKUP("Tl-209",$A$4:$L$32,6)/$B45,0)</f>
        <v>34.411932943393339</v>
      </c>
      <c r="G45" s="71">
        <f>IFERROR(VLOOKUP("Tl-209",$A$4:$L$32,7)/$B45,0)</f>
        <v>24.930925837760181</v>
      </c>
      <c r="H45" s="70">
        <f>IFERROR(VLOOKUP("Tl-209",$A$4:$L$32,8)/$B45,0)</f>
        <v>0.76748528172441122</v>
      </c>
      <c r="I45" s="71">
        <f>IFERROR(VLOOKUP("Tl-209",$A$4:$L$32,9)/$B45,0)</f>
        <v>4.4850975734442793</v>
      </c>
      <c r="J45" s="71">
        <f>IFERROR(VLOOKUP("Tl-209",$A$4:$L$32,10)/$B45,0)</f>
        <v>3.6783286327611662</v>
      </c>
      <c r="K45" s="71">
        <f>IFERROR(VLOOKUP("Tl-209",$A$4:$L$32,11)/$B45,0)</f>
        <v>1.2732415189055548</v>
      </c>
      <c r="L45" s="71">
        <f>IFERROR(VLOOKUP("Tl-209",$A$4:$L$32,12)/$B45,0)</f>
        <v>0.92244425599712765</v>
      </c>
      <c r="M45" s="70">
        <f>IFERROR(VLOOKUP("Tl-209",$A$4:$R$32,13)/$B45,0)</f>
        <v>4.9908217533399728E-14</v>
      </c>
      <c r="N45" s="71">
        <f>IFERROR(VLOOKUP("Tl-209",$A$4:$R$32,14)/$B45,0)</f>
        <v>2.9165800398288037E-16</v>
      </c>
      <c r="O45" s="71">
        <f>IFERROR(VLOOKUP("Tl-209",$A$4:$R$32,15)/$B45,0)</f>
        <v>2.3919523922427036E-13</v>
      </c>
      <c r="P45" s="71">
        <f>IFERROR(VLOOKUP("Tl-209",$A$4:$R$32,16)/$B45,0)</f>
        <v>8.2796655794257358E-14</v>
      </c>
      <c r="Q45" s="71">
        <f>IFERROR(VLOOKUP("Tl-209",$A$4:$R$32,17)/$B45,0)</f>
        <v>5.9984926990783508E-14</v>
      </c>
      <c r="R45" s="95">
        <f t="shared" si="29"/>
        <v>26910.585440665654</v>
      </c>
    </row>
    <row r="46" spans="1:18">
      <c r="A46" s="31" t="s">
        <v>187</v>
      </c>
      <c r="B46" s="32">
        <v>0.99987999999999999</v>
      </c>
      <c r="C46" s="70">
        <f>IFERROR(VLOOKUP("Pb-209",$A$4:$L$32,3)/$B46,0)</f>
        <v>0</v>
      </c>
      <c r="D46" s="71">
        <f>IFERROR(VLOOKUP("Pb-209",$A$4:$L$32,4)/$B46,0)</f>
        <v>0</v>
      </c>
      <c r="E46" s="71">
        <f>IFERROR(VLOOKUP("Pb-209",$A$4:$L$32,5)/$B46,0)</f>
        <v>0</v>
      </c>
      <c r="F46" s="71">
        <f>IFERROR(VLOOKUP("Pb-209",$A$4:$L$32,6)/$B46,0)</f>
        <v>0</v>
      </c>
      <c r="G46" s="71">
        <f>IFERROR(VLOOKUP("Pb-209",$A$4:$L$32,7)/$B46,0)</f>
        <v>0</v>
      </c>
      <c r="H46" s="70">
        <f>IFERROR(VLOOKUP("Pb-209",$A$4:$L$32,8)/$B46,0)</f>
        <v>0</v>
      </c>
      <c r="I46" s="71">
        <f>IFERROR(VLOOKUP("Pb-209",$A$4:$L$32,9)/$B46,0)</f>
        <v>0</v>
      </c>
      <c r="J46" s="71">
        <f>IFERROR(VLOOKUP("Pb-209",$A$4:$L$32,10)/$B46,0)</f>
        <v>0</v>
      </c>
      <c r="K46" s="71">
        <f>IFERROR(VLOOKUP("Pb-209",$A$4:$L$32,11)/$B46,0)</f>
        <v>0</v>
      </c>
      <c r="L46" s="71">
        <f>IFERROR(VLOOKUP("Pb-209",$A$4:$L$32,12)/$B46,0)</f>
        <v>0</v>
      </c>
      <c r="M46" s="70">
        <f>IFERROR(VLOOKUP("Pb-209",$A$4:$R$32,13)/$B46,0)</f>
        <v>0</v>
      </c>
      <c r="N46" s="71">
        <f>IFERROR(VLOOKUP("Pb-209",$A$4:$R$32,14)/$B46,0)</f>
        <v>0</v>
      </c>
      <c r="O46" s="71">
        <f>IFERROR(VLOOKUP("Pb-209",$A$4:$R$32,15)/$B46,0)</f>
        <v>0</v>
      </c>
      <c r="P46" s="71">
        <f>IFERROR(VLOOKUP("Pb-209",$A$4:$R$32,16)/$B46,0)</f>
        <v>0</v>
      </c>
      <c r="Q46" s="71">
        <f>IFERROR(VLOOKUP("Pb-209",$A$4:$R$32,17)/$B46,0)</f>
        <v>0</v>
      </c>
      <c r="R46" s="95">
        <f t="shared" si="29"/>
        <v>0</v>
      </c>
    </row>
    <row r="47" spans="1:18">
      <c r="A47" s="30" t="s">
        <v>17</v>
      </c>
      <c r="B47" s="30" t="s">
        <v>59</v>
      </c>
      <c r="C47" s="76">
        <f>IFERROR(1/SUM(1/C48,1/C49),0)</f>
        <v>4.9547539638016085</v>
      </c>
      <c r="D47" s="77">
        <f t="shared" ref="D47:G47" si="30">IFERROR(1/SUM(1/D48,1/D49),0)</f>
        <v>33.673938650560444</v>
      </c>
      <c r="E47" s="77">
        <f t="shared" si="30"/>
        <v>25.901224986591952</v>
      </c>
      <c r="F47" s="77">
        <f t="shared" si="30"/>
        <v>8.3989410259178001</v>
      </c>
      <c r="G47" s="77">
        <f t="shared" si="30"/>
        <v>6.7470848091336126</v>
      </c>
      <c r="H47" s="76">
        <f>IFERROR(1/SUM(1/H48,1/H49),0)</f>
        <v>0.18332589666065968</v>
      </c>
      <c r="I47" s="77">
        <f t="shared" ref="I47:L47" si="31">IFERROR(1/SUM(1/I48,1/I49),0)</f>
        <v>1.2459357300707377</v>
      </c>
      <c r="J47" s="77">
        <f t="shared" si="31"/>
        <v>0.95834532450390331</v>
      </c>
      <c r="K47" s="77">
        <f t="shared" si="31"/>
        <v>0.31076081795895893</v>
      </c>
      <c r="L47" s="77">
        <f t="shared" si="31"/>
        <v>0.24964213793794396</v>
      </c>
      <c r="M47" s="20">
        <f>IFERROR(C47*VLOOKUP("Cs-137",Isospec!$A$3:$R$31,3)*VLOOKUP("Cs-137",Isospec!$A$3:$R$31,6)*SSLgram,".")</f>
        <v>5.733690616441684E-8</v>
      </c>
      <c r="N47" s="19">
        <f>IFERROR(D47*VLOOKUP("Cs-137",Isospec!$A$3:$R$31,3)*VLOOKUP("Cs-137",Isospec!$A$3:$R$31,6)*SSLcm_m,".")</f>
        <v>3.8967817064161754E-10</v>
      </c>
      <c r="O47" s="19">
        <f>IFERROR(E47*VLOOKUP("Cs-137",Isospec!$A$3:$R$31,3)*VLOOKUP("Cs-137",Isospec!$A$3:$R$31,6)*SSLgram,".")</f>
        <v>2.9973155427080175E-7</v>
      </c>
      <c r="P47" s="19">
        <f>IFERROR(F47*VLOOKUP("Cs-137",Isospec!$A$3:$R$31,3)*VLOOKUP("Cs-137",Isospec!$A$3:$R$31,6)*SSLgram,".")</f>
        <v>9.7193381750489318E-8</v>
      </c>
      <c r="Q47" s="21">
        <f>IFERROR(G47*VLOOKUP("Cs-137",Isospec!$A$3:$R$31,3)*VLOOKUP("Cs-137",Isospec!$A$3:$R$31,6)*SSLgram,".")</f>
        <v>7.8077937151057754E-8</v>
      </c>
      <c r="R47" s="94">
        <f t="shared" si="29"/>
        <v>7475.6143804244193</v>
      </c>
    </row>
    <row r="48" spans="1:18">
      <c r="A48" s="31" t="s">
        <v>188</v>
      </c>
      <c r="B48" s="32">
        <v>1</v>
      </c>
      <c r="C48" s="70">
        <f>IFERROR(VLOOKUP("Cs-137",$A$4:$L$32,3)/$B48,0)</f>
        <v>2924806367.8915334</v>
      </c>
      <c r="D48" s="71">
        <f>IFERROR(VLOOKUP("Cs-137",$A$4:$L$32,4)/$B48,0)</f>
        <v>4835.697182640135</v>
      </c>
      <c r="E48" s="71">
        <f>IFERROR(VLOOKUP("Cs-137",$A$4:$L$32,5)/$B48,0)</f>
        <v>34924.143555842304</v>
      </c>
      <c r="F48" s="71">
        <f>IFERROR(VLOOKUP("Cs-137",$A$4:$L$32,6)/$B48,0)</f>
        <v>20960.367870638416</v>
      </c>
      <c r="G48" s="71">
        <f>IFERROR(VLOOKUP("Cs-137",$A$4:$L$32,7)/$B48,0)</f>
        <v>12630.44001141588</v>
      </c>
      <c r="H48" s="70">
        <f>IFERROR(VLOOKUP("Cs-137",$A$4:$L$32,8)/$B48,0)</f>
        <v>108217835.61198685</v>
      </c>
      <c r="I48" s="71">
        <f>IFERROR(VLOOKUP("Cs-137",$A$4:$L$32,9)/$B48,0)</f>
        <v>178.92079575768517</v>
      </c>
      <c r="J48" s="71">
        <f>IFERROR(VLOOKUP("Cs-137",$A$4:$L$32,10)/$B48,0)</f>
        <v>1292.1933115661666</v>
      </c>
      <c r="K48" s="71">
        <f>IFERROR(VLOOKUP("Cs-137",$A$4:$L$32,11)/$B48,0)</f>
        <v>775.53361121362218</v>
      </c>
      <c r="L48" s="71">
        <f>IFERROR(VLOOKUP("Cs-137",$A$4:$L$32,12)/$B48,0)</f>
        <v>467.32628042238804</v>
      </c>
      <c r="M48" s="70">
        <f>IFERROR(VLOOKUP("Cs-137",$A$4:$R$32,13)/$B48,0)</f>
        <v>33.846150482962813</v>
      </c>
      <c r="N48" s="71">
        <f>IFERROR(VLOOKUP("Cs-137",$A$4:$R$32,14)/$B48,0)</f>
        <v>5.5959169239523152E-8</v>
      </c>
      <c r="O48" s="71">
        <f>IFERROR(VLOOKUP("Cs-137",$A$4:$R$32,15)/$B48,0)</f>
        <v>4.0414566627593955E-4</v>
      </c>
      <c r="P48" s="71">
        <f>IFERROR(VLOOKUP("Cs-137",$A$4:$R$32,16)/$B48,0)</f>
        <v>2.4255546381325293E-4</v>
      </c>
      <c r="Q48" s="71">
        <f>IFERROR(VLOOKUP("Cs-137",$A$4:$R$32,17)/$B48,0)</f>
        <v>1.461607092987121E-4</v>
      </c>
      <c r="R48" s="95">
        <f t="shared" si="29"/>
        <v>1073524.7745461101</v>
      </c>
    </row>
    <row r="49" spans="1:18">
      <c r="A49" s="31" t="s">
        <v>189</v>
      </c>
      <c r="B49" s="32">
        <v>0.94399</v>
      </c>
      <c r="C49" s="70">
        <f>IFERROR(VLOOKUP("Ba-137m",$A$4:$L$32,3)/$B49,0)</f>
        <v>4.954753972195185</v>
      </c>
      <c r="D49" s="71">
        <f>IFERROR(VLOOKUP("Ba-137m",$A$4:$L$32,4)/$B49,0)</f>
        <v>33.910075396808182</v>
      </c>
      <c r="E49" s="71">
        <f>IFERROR(VLOOKUP("Ba-137m",$A$4:$L$32,5)/$B49,0)</f>
        <v>25.920448689878953</v>
      </c>
      <c r="F49" s="71">
        <f>IFERROR(VLOOKUP("Ba-137m",$A$4:$L$32,6)/$B49,0)</f>
        <v>8.4023078794385277</v>
      </c>
      <c r="G49" s="71">
        <f>IFERROR(VLOOKUP("Ba-137m",$A$4:$L$32,7)/$B49,0)</f>
        <v>6.7506909768126198</v>
      </c>
      <c r="H49" s="70">
        <f>IFERROR(VLOOKUP("Ba-137m",$A$4:$L$32,8)/$B49,0)</f>
        <v>0.18332589697122204</v>
      </c>
      <c r="I49" s="71">
        <f>IFERROR(VLOOKUP("Ba-137m",$A$4:$L$32,9)/$B49,0)</f>
        <v>1.2546727896819039</v>
      </c>
      <c r="J49" s="71">
        <f>IFERROR(VLOOKUP("Ba-137m",$A$4:$L$32,10)/$B49,0)</f>
        <v>0.95905660152552219</v>
      </c>
      <c r="K49" s="71">
        <f>IFERROR(VLOOKUP("Ba-137m",$A$4:$L$32,11)/$B49,0)</f>
        <v>0.31088539153922584</v>
      </c>
      <c r="L49" s="71">
        <f>IFERROR(VLOOKUP("Ba-137m",$A$4:$L$32,12)/$B49,0)</f>
        <v>0.2497755661420672</v>
      </c>
      <c r="M49" s="70">
        <f>IFERROR(VLOOKUP("Ba-137m",$A$4:$R$32,13)/$B49,0)</f>
        <v>9.2283914150862262E-15</v>
      </c>
      <c r="N49" s="71">
        <f>IFERROR(VLOOKUP("Ba-137m",$A$4:$R$32,14)/$B49,0)</f>
        <v>6.3158625116997786E-17</v>
      </c>
      <c r="O49" s="71">
        <f>IFERROR(VLOOKUP("Ba-137m",$A$4:$R$32,15)/$B49,0)</f>
        <v>4.8277683918760457E-14</v>
      </c>
      <c r="P49" s="71">
        <f>IFERROR(VLOOKUP("Ba-137m",$A$4:$R$32,16)/$B49,0)</f>
        <v>1.5649573386823113E-14</v>
      </c>
      <c r="Q49" s="71">
        <f>IFERROR(VLOOKUP("Ba-137m",$A$4:$R$32,17)/$B49,0)</f>
        <v>1.2573382857336251E-14</v>
      </c>
      <c r="R49" s="95">
        <f t="shared" si="29"/>
        <v>7528.0367380914167</v>
      </c>
    </row>
    <row r="50" spans="1:18">
      <c r="A50" s="30" t="s">
        <v>27</v>
      </c>
      <c r="B50" s="30" t="s">
        <v>59</v>
      </c>
      <c r="C50" s="76">
        <f t="shared" ref="C50:L50" si="32">IFERROR(1/SUM(1/C51,1/C52,1/C56,1/C57,1/C55,1/C58,1/C59,1/C60,1/C61,1/C63,1/C62,1/C64),0)</f>
        <v>1.0894942452281571</v>
      </c>
      <c r="D50" s="77">
        <f t="shared" si="32"/>
        <v>7.9570674989050936</v>
      </c>
      <c r="E50" s="77">
        <f t="shared" si="32"/>
        <v>6.342602287301073</v>
      </c>
      <c r="F50" s="77">
        <f t="shared" si="32"/>
        <v>2.1333697338687658</v>
      </c>
      <c r="G50" s="77">
        <f t="shared" si="32"/>
        <v>1.5849451345176111</v>
      </c>
      <c r="H50" s="76">
        <f t="shared" si="32"/>
        <v>4.0311287073441844E-2</v>
      </c>
      <c r="I50" s="77">
        <f t="shared" si="32"/>
        <v>0.29441149745948869</v>
      </c>
      <c r="J50" s="77">
        <f t="shared" si="32"/>
        <v>0.23467628463013995</v>
      </c>
      <c r="K50" s="77">
        <f t="shared" si="32"/>
        <v>7.8934680153144421E-2</v>
      </c>
      <c r="L50" s="77">
        <f t="shared" si="32"/>
        <v>5.8642969977151696E-2</v>
      </c>
      <c r="M50" s="20">
        <f>IFERROR(C50*VLOOKUP("Ra-226",Isospec!$A$3:$R$31,3)*VLOOKUP("Ra-226",Isospec!$A$3:$R$31,6)*SSLgram,".")</f>
        <v>1.1030911334086042E-6</v>
      </c>
      <c r="N50" s="19">
        <f>IFERROR(D50*VLOOKUP("Ra-226",Isospec!$A$3:$R$31,3)*VLOOKUP("Ra-226",Isospec!$A$3:$R$31,6)*SSLcm_m,".")</f>
        <v>8.0563717012914313E-9</v>
      </c>
      <c r="O50" s="19">
        <f>IFERROR(E50*VLOOKUP("Ra-226",Isospec!$A$3:$R$31,3)*VLOOKUP("Ra-226",Isospec!$A$3:$R$31,6)*SSLgram,".")</f>
        <v>6.4217579638465893E-6</v>
      </c>
      <c r="P50" s="19">
        <f>IFERROR(F50*VLOOKUP("Ra-226",Isospec!$A$3:$R$31,3)*VLOOKUP("Ra-226",Isospec!$A$3:$R$31,6)*SSLgram,".")</f>
        <v>2.1599941881474478E-6</v>
      </c>
      <c r="Q50" s="21">
        <f>IFERROR(G50*VLOOKUP("Ra-226",Isospec!$A$3:$R$31,3)*VLOOKUP("Ra-226",Isospec!$A$3:$R$31,6)*SSLgram,".")</f>
        <v>1.604725249796391E-6</v>
      </c>
      <c r="R50" s="94">
        <f t="shared" si="29"/>
        <v>1766.4689847569309</v>
      </c>
    </row>
    <row r="51" spans="1:18">
      <c r="A51" s="31" t="s">
        <v>190</v>
      </c>
      <c r="B51" s="32">
        <v>1</v>
      </c>
      <c r="C51" s="70">
        <f>IFERROR(VLOOKUP("Ra-226",$A$4:$L$32,3)/$B51,0)</f>
        <v>12472.597569173206</v>
      </c>
      <c r="D51" s="71">
        <f>IFERROR(VLOOKUP("Ra-226",$A$4:$L$32,4)/$B51,0)</f>
        <v>2552.1057042046191</v>
      </c>
      <c r="E51" s="71">
        <f>IFERROR(VLOOKUP("Ra-226",$A$4:$L$32,5)/$B51,0)</f>
        <v>1936.8293829893944</v>
      </c>
      <c r="F51" s="71">
        <f>IFERROR(VLOOKUP("Ra-226",$A$4:$L$32,6)/$B51,0)</f>
        <v>714.49420542973746</v>
      </c>
      <c r="G51" s="71">
        <f>IFERROR(VLOOKUP("Ra-226",$A$4:$L$32,7)/$B51,0)</f>
        <v>475.56626780877065</v>
      </c>
      <c r="H51" s="70">
        <f>IFERROR(VLOOKUP("Ra-226",$A$4:$L$32,8)/$B51,0)</f>
        <v>461.4861100594091</v>
      </c>
      <c r="I51" s="71">
        <f>IFERROR(VLOOKUP("Ra-226",$A$4:$L$32,9)/$B51,0)</f>
        <v>94.427911055571002</v>
      </c>
      <c r="J51" s="71">
        <f>IFERROR(VLOOKUP("Ra-226",$A$4:$L$32,10)/$B51,0)</f>
        <v>71.662687170607668</v>
      </c>
      <c r="K51" s="71">
        <f>IFERROR(VLOOKUP("Ra-226",$A$4:$L$32,11)/$B51,0)</f>
        <v>26.436285600900312</v>
      </c>
      <c r="L51" s="71">
        <f>IFERROR(VLOOKUP("Ra-226",$A$4:$L$32,12)/$B51,0)</f>
        <v>17.595951908924533</v>
      </c>
      <c r="M51" s="70">
        <f>IFERROR(VLOOKUP("Ra-226",$A$4:$R$32,13)/$B51,0)</f>
        <v>1.2628255586836489E-2</v>
      </c>
      <c r="N51" s="71">
        <f>IFERROR(VLOOKUP("Ra-226",$A$4:$R$32,14)/$B51,0)</f>
        <v>2.583955983393093E-6</v>
      </c>
      <c r="O51" s="71">
        <f>IFERROR(VLOOKUP("Ra-226",$A$4:$R$32,15)/$B51,0)</f>
        <v>1.9610010136891019E-3</v>
      </c>
      <c r="P51" s="71">
        <f>IFERROR(VLOOKUP("Ra-226",$A$4:$R$32,16)/$B51,0)</f>
        <v>7.234110931135005E-4</v>
      </c>
      <c r="Q51" s="71">
        <f>IFERROR(VLOOKUP("Ra-226",$A$4:$R$32,17)/$B51,0)</f>
        <v>4.8150133483102403E-4</v>
      </c>
      <c r="R51" s="95">
        <f t="shared" si="29"/>
        <v>566567.46633342549</v>
      </c>
    </row>
    <row r="52" spans="1:18">
      <c r="A52" s="31" t="s">
        <v>191</v>
      </c>
      <c r="B52" s="32">
        <v>1</v>
      </c>
      <c r="C52" s="70">
        <f>IFERROR(VLOOKUP("Rn-222",$A$4:$L$32,3)/$B52,0)</f>
        <v>8872228.1879057307</v>
      </c>
      <c r="D52" s="71">
        <f>IFERROR(VLOOKUP("Rn-222",$A$4:$L$32,4)/$B52,0)</f>
        <v>61396323.193612874</v>
      </c>
      <c r="E52" s="71">
        <f>IFERROR(VLOOKUP("Rn-222",$A$4:$L$32,5)/$B52,0)</f>
        <v>46314273.378173947</v>
      </c>
      <c r="F52" s="71">
        <f>IFERROR(VLOOKUP("Rn-222",$A$4:$L$32,6)/$B52,0)</f>
        <v>13964191.545418082</v>
      </c>
      <c r="G52" s="71">
        <f>IFERROR(VLOOKUP("Rn-222",$A$4:$L$32,7)/$B52,0)</f>
        <v>9690988.9674442131</v>
      </c>
      <c r="H52" s="70">
        <f>IFERROR(VLOOKUP("Rn-222",$A$4:$L$32,8)/$B52,0)</f>
        <v>328272.44295251236</v>
      </c>
      <c r="I52" s="71">
        <f>IFERROR(VLOOKUP("Rn-222",$A$4:$L$32,9)/$B52,0)</f>
        <v>2271663.9581636786</v>
      </c>
      <c r="J52" s="71">
        <f>IFERROR(VLOOKUP("Rn-222",$A$4:$L$32,10)/$B52,0)</f>
        <v>1713628.1149924379</v>
      </c>
      <c r="K52" s="71">
        <f>IFERROR(VLOOKUP("Rn-222",$A$4:$L$32,11)/$B52,0)</f>
        <v>516675.08718046953</v>
      </c>
      <c r="L52" s="71">
        <f>IFERROR(VLOOKUP("Rn-222",$A$4:$L$32,12)/$B52,0)</f>
        <v>358566.59179543622</v>
      </c>
      <c r="M52" s="70">
        <f>IFERROR(VLOOKUP("Rn-222",$A$4:$R$32,13)/$B52,0)</f>
        <v>5.7771273201548393E-5</v>
      </c>
      <c r="N52" s="71">
        <f>IFERROR(VLOOKUP("Rn-222",$A$4:$R$32,14)/$B52,0)</f>
        <v>3.9978049320505814E-7</v>
      </c>
      <c r="O52" s="71">
        <f>IFERROR(VLOOKUP("Rn-222",$A$4:$R$32,15)/$B52,0)</f>
        <v>3.015741349066073E-4</v>
      </c>
      <c r="P52" s="71">
        <f>IFERROR(VLOOKUP("Rn-222",$A$4:$R$32,16)/$B52,0)</f>
        <v>9.0927454493201773E-5</v>
      </c>
      <c r="Q52" s="71">
        <f>IFERROR(VLOOKUP("Rn-222",$A$4:$R$32,17)/$B52,0)</f>
        <v>6.3102611810028861E-5</v>
      </c>
      <c r="R52" s="95">
        <f t="shared" si="29"/>
        <v>13629983748.982059</v>
      </c>
    </row>
    <row r="53" spans="1:18">
      <c r="A53" s="31" t="s">
        <v>192</v>
      </c>
      <c r="B53" s="32">
        <v>1</v>
      </c>
      <c r="C53" s="70">
        <f>IFERROR(VLOOKUP("Po-218",$A$4:$L$32,3)/$B53,0)</f>
        <v>0</v>
      </c>
      <c r="D53" s="71">
        <f>IFERROR(VLOOKUP("Po-218",$A$4:$L$32,4)/$B53,0)</f>
        <v>0</v>
      </c>
      <c r="E53" s="71">
        <f>IFERROR(VLOOKUP("Po-218",$A$4:$L$32,5)/$B53,0)</f>
        <v>0</v>
      </c>
      <c r="F53" s="71">
        <f>IFERROR(VLOOKUP("Po-218",$A$4:$L$32,6)/$B53,0)</f>
        <v>0</v>
      </c>
      <c r="G53" s="71">
        <f>IFERROR(VLOOKUP("Po-218",$A$4:$L$32,7)/$B53,0)</f>
        <v>0</v>
      </c>
      <c r="H53" s="70">
        <f>IFERROR(VLOOKUP("Po-218",$A$4:$L$32,8)/$B53,0)</f>
        <v>0</v>
      </c>
      <c r="I53" s="71">
        <f>IFERROR(VLOOKUP("Po-218",$A$4:$L$32,9)/$B53,0)</f>
        <v>0</v>
      </c>
      <c r="J53" s="71">
        <f>IFERROR(VLOOKUP("Po-218",$A$4:$L$32,10)/$B53,0)</f>
        <v>0</v>
      </c>
      <c r="K53" s="71">
        <f>IFERROR(VLOOKUP("Po-218",$A$4:$L$32,11)/$B53,0)</f>
        <v>0</v>
      </c>
      <c r="L53" s="71">
        <f>IFERROR(VLOOKUP("Po-218",$A$4:$L$32,12)/$B53,0)</f>
        <v>0</v>
      </c>
      <c r="M53" s="70">
        <f>IFERROR(VLOOKUP("Po-218",$A$4:$R$32,13)/$B53,0)</f>
        <v>0</v>
      </c>
      <c r="N53" s="71">
        <f>IFERROR(VLOOKUP("Po-218",$A$4:$R$32,14)/$B53,0)</f>
        <v>0</v>
      </c>
      <c r="O53" s="71">
        <f>IFERROR(VLOOKUP("Po-218",$A$4:$R$32,15)/$B53,0)</f>
        <v>0</v>
      </c>
      <c r="P53" s="71">
        <f>IFERROR(VLOOKUP("Po-218",$A$4:$R$32,16)/$B53,0)</f>
        <v>0</v>
      </c>
      <c r="Q53" s="71">
        <f>IFERROR(VLOOKUP("Po-218",$A$4:$R$32,17)/$B53,0)</f>
        <v>0</v>
      </c>
      <c r="R53" s="95">
        <f t="shared" si="29"/>
        <v>0</v>
      </c>
    </row>
    <row r="54" spans="1:18">
      <c r="A54" s="31" t="s">
        <v>194</v>
      </c>
      <c r="B54" s="32">
        <v>2.0000000000000001E-4</v>
      </c>
      <c r="C54" s="70">
        <f>IFERROR(VLOOKUP("At-218",$A$4:$L$32,3)/$B54,0)</f>
        <v>0</v>
      </c>
      <c r="D54" s="71">
        <f>IFERROR(VLOOKUP("At-218",$A$4:$L$32,4)/$B54,0)</f>
        <v>0</v>
      </c>
      <c r="E54" s="71">
        <f>IFERROR(VLOOKUP("At-218",$A$4:$L$32,5)/$B54,0)</f>
        <v>0</v>
      </c>
      <c r="F54" s="71">
        <f>IFERROR(VLOOKUP("At-218",$A$4:$L$32,6)/$B54,0)</f>
        <v>0</v>
      </c>
      <c r="G54" s="71">
        <f>IFERROR(VLOOKUP("At-218",$A$4:$L$32,7)/$B54,0)</f>
        <v>0</v>
      </c>
      <c r="H54" s="70">
        <f>IFERROR(VLOOKUP("At-218",$A$4:$L$32,8)/$B54,0)</f>
        <v>0</v>
      </c>
      <c r="I54" s="71">
        <f>IFERROR(VLOOKUP("At-218",$A$4:$L$32,9)/$B54,0)</f>
        <v>0</v>
      </c>
      <c r="J54" s="71">
        <f>IFERROR(VLOOKUP("At-218",$A$4:$L$32,10)/$B54,0)</f>
        <v>0</v>
      </c>
      <c r="K54" s="71">
        <f>IFERROR(VLOOKUP("At-218",$A$4:$L$32,11)/$B54,0)</f>
        <v>0</v>
      </c>
      <c r="L54" s="71">
        <f>IFERROR(VLOOKUP("At-218",$A$4:$L$32,12)/$B54,0)</f>
        <v>0</v>
      </c>
      <c r="M54" s="70">
        <f>IFERROR(VLOOKUP("At-218",$A$4:$R$32,13)/$B54,0)</f>
        <v>0</v>
      </c>
      <c r="N54" s="71">
        <f>IFERROR(VLOOKUP("At-218",$A$4:$R$32,14)/$B54,0)</f>
        <v>0</v>
      </c>
      <c r="O54" s="71">
        <f>IFERROR(VLOOKUP("At-218",$A$4:$R$32,15)/$B54,0)</f>
        <v>0</v>
      </c>
      <c r="P54" s="71">
        <f>IFERROR(VLOOKUP("At-218",$A$4:$R$32,16)/$B54,0)</f>
        <v>0</v>
      </c>
      <c r="Q54" s="71">
        <f>IFERROR(VLOOKUP("At-218",$A$4:$R$32,17)/$B54,0)</f>
        <v>0</v>
      </c>
      <c r="R54" s="95">
        <f t="shared" si="29"/>
        <v>0</v>
      </c>
    </row>
    <row r="55" spans="1:18">
      <c r="A55" s="31" t="s">
        <v>196</v>
      </c>
      <c r="B55" s="32">
        <v>1.9999999999999999E-7</v>
      </c>
      <c r="C55" s="70">
        <f>IFERROR(VLOOKUP("Rn-218",$A$4:$L$32,3)/$B55,0)</f>
        <v>13802369146939.379</v>
      </c>
      <c r="D55" s="71">
        <f>IFERROR(VLOOKUP("Rn-218",$A$4:$L$32,4)/$B55,0)</f>
        <v>99569339201270.313</v>
      </c>
      <c r="E55" s="71">
        <f>IFERROR(VLOOKUP("Rn-218",$A$4:$L$32,5)/$B55,0)</f>
        <v>72256612175045.469</v>
      </c>
      <c r="F55" s="71">
        <f>IFERROR(VLOOKUP("Rn-218",$A$4:$L$32,6)/$B55,0)</f>
        <v>23072785950501.176</v>
      </c>
      <c r="G55" s="71">
        <f>IFERROR(VLOOKUP("Rn-218",$A$4:$L$32,7)/$B55,0)</f>
        <v>18764643893225.016</v>
      </c>
      <c r="H55" s="70">
        <f>IFERROR(VLOOKUP("Rn-218",$A$4:$L$32,8)/$B55,0)</f>
        <v>510687658436.75757</v>
      </c>
      <c r="I55" s="71">
        <f>IFERROR(VLOOKUP("Rn-218",$A$4:$L$32,9)/$B55,0)</f>
        <v>3684065550447.0054</v>
      </c>
      <c r="J55" s="71">
        <f>IFERROR(VLOOKUP("Rn-218",$A$4:$L$32,10)/$B55,0)</f>
        <v>2673494650476.6851</v>
      </c>
      <c r="K55" s="71">
        <f>IFERROR(VLOOKUP("Rn-218",$A$4:$L$32,11)/$B55,0)</f>
        <v>853693080168.54431</v>
      </c>
      <c r="L55" s="71">
        <f>IFERROR(VLOOKUP("Rn-218",$A$4:$L$32,12)/$B55,0)</f>
        <v>694291824049.32629</v>
      </c>
      <c r="M55" s="70">
        <f>IFERROR(VLOOKUP("Rn-218",$A$4:$R$32,13)/$B55,0)</f>
        <v>9.3503873178343265E-6</v>
      </c>
      <c r="N55" s="71">
        <f>IFERROR(VLOOKUP("Rn-218",$A$4:$R$32,14)/$B55,0)</f>
        <v>6.7453049299087222E-8</v>
      </c>
      <c r="O55" s="71">
        <f>IFERROR(VLOOKUP("Rn-218",$A$4:$R$32,15)/$B55,0)</f>
        <v>4.8950097111482942E-5</v>
      </c>
      <c r="P55" s="71">
        <f>IFERROR(VLOOKUP("Rn-218",$A$4:$R$32,16)/$B55,0)</f>
        <v>1.5630612602946619E-5</v>
      </c>
      <c r="Q55" s="71">
        <f>IFERROR(VLOOKUP("Rn-218",$A$4:$R$32,17)/$B55,0)</f>
        <v>1.2712070400015014E-5</v>
      </c>
      <c r="R55" s="95">
        <f>IF(D55&lt;&gt;".",D55*2.22*100,".")</f>
        <v>2.2104393302682012E+16</v>
      </c>
    </row>
    <row r="56" spans="1:18">
      <c r="A56" s="31" t="s">
        <v>193</v>
      </c>
      <c r="B56" s="32">
        <v>0.99980000000000002</v>
      </c>
      <c r="C56" s="70">
        <f>IFERROR(VLOOKUP("Pb-214",$A$4:$L$32,3)/$B56,0)</f>
        <v>13.499680781245738</v>
      </c>
      <c r="D56" s="71">
        <f>IFERROR(VLOOKUP("Pb-214",$A$4:$L$32,4)/$B56,0)</f>
        <v>49.959270978277765</v>
      </c>
      <c r="E56" s="71">
        <f>IFERROR(VLOOKUP("Pb-214",$A$4:$L$32,5)/$B56,0)</f>
        <v>48.801963680889699</v>
      </c>
      <c r="F56" s="71">
        <f>IFERROR(VLOOKUP("Pb-214",$A$4:$L$32,6)/$B56,0)</f>
        <v>17.527402558883107</v>
      </c>
      <c r="G56" s="71">
        <f>IFERROR(VLOOKUP("Pb-214",$A$4:$L$32,7)/$B56,0)</f>
        <v>13.773812695931717</v>
      </c>
      <c r="H56" s="70">
        <f>IFERROR(VLOOKUP("Pb-214",$A$4:$L$32,8)/$B56,0)</f>
        <v>0.49948818890609281</v>
      </c>
      <c r="I56" s="71">
        <f>IFERROR(VLOOKUP("Pb-214",$A$4:$L$32,9)/$B56,0)</f>
        <v>1.8484930261962793</v>
      </c>
      <c r="J56" s="71">
        <f>IFERROR(VLOOKUP("Pb-214",$A$4:$L$32,10)/$B56,0)</f>
        <v>1.8056726561929208</v>
      </c>
      <c r="K56" s="71">
        <f>IFERROR(VLOOKUP("Pb-214",$A$4:$L$32,11)/$B56,0)</f>
        <v>0.6485138946786756</v>
      </c>
      <c r="L56" s="71">
        <f>IFERROR(VLOOKUP("Pb-214",$A$4:$L$32,12)/$B56,0)</f>
        <v>0.50963106974947403</v>
      </c>
      <c r="M56" s="70">
        <f>IFERROR(VLOOKUP("Pb-214",$A$4:$R$32,13)/$B56,0)</f>
        <v>4.1245326066681811E-13</v>
      </c>
      <c r="N56" s="71">
        <f>IFERROR(VLOOKUP("Pb-214",$A$4:$R$32,14)/$B56,0)</f>
        <v>1.5263964051767979E-15</v>
      </c>
      <c r="O56" s="71">
        <f>IFERROR(VLOOKUP("Pb-214",$A$4:$R$32,15)/$B56,0)</f>
        <v>1.4910374084615316E-12</v>
      </c>
      <c r="P56" s="71">
        <f>IFERROR(VLOOKUP("Pb-214",$A$4:$R$32,16)/$B56,0)</f>
        <v>5.3551150235155126E-13</v>
      </c>
      <c r="Q56" s="71">
        <f>IFERROR(VLOOKUP("Pb-214",$A$4:$R$32,17)/$B56,0)</f>
        <v>4.2082876256921461E-13</v>
      </c>
      <c r="R56" s="95">
        <f>IF(D56&lt;&gt;".",D56*2.22*100,".")</f>
        <v>11090.958157177663</v>
      </c>
    </row>
    <row r="57" spans="1:18">
      <c r="A57" s="31" t="s">
        <v>195</v>
      </c>
      <c r="B57" s="32">
        <v>0.99999979999999999</v>
      </c>
      <c r="C57" s="70">
        <f>IFERROR(VLOOKUP("Bi-214",$A$4:$L$32,3)/$B57,0)</f>
        <v>1.1863810977598663</v>
      </c>
      <c r="D57" s="71">
        <f>IFERROR(VLOOKUP("Bi-214",$A$4:$L$32,4)/$B57,0)</f>
        <v>9.520183261361062</v>
      </c>
      <c r="E57" s="71">
        <f>IFERROR(VLOOKUP("Bi-214",$A$4:$L$32,5)/$B57,0)</f>
        <v>7.3265979149704616</v>
      </c>
      <c r="F57" s="71">
        <f>IFERROR(VLOOKUP("Bi-214",$A$4:$L$32,6)/$B57,0)</f>
        <v>2.439992324417676</v>
      </c>
      <c r="G57" s="71">
        <f>IFERROR(VLOOKUP("Bi-214",$A$4:$L$32,7)/$B57,0)</f>
        <v>1.7997606138196969</v>
      </c>
      <c r="H57" s="70">
        <f>IFERROR(VLOOKUP("Bi-214",$A$4:$L$32,8)/$B57,0)</f>
        <v>4.3896100617115096E-2</v>
      </c>
      <c r="I57" s="71">
        <f>IFERROR(VLOOKUP("Bi-214",$A$4:$L$32,9)/$B57,0)</f>
        <v>0.35224678067035964</v>
      </c>
      <c r="J57" s="71">
        <f>IFERROR(VLOOKUP("Bi-214",$A$4:$L$32,10)/$B57,0)</f>
        <v>0.27108412285390737</v>
      </c>
      <c r="K57" s="71">
        <f>IFERROR(VLOOKUP("Bi-214",$A$4:$L$32,11)/$B57,0)</f>
        <v>9.0279716003454108E-2</v>
      </c>
      <c r="L57" s="71">
        <f>IFERROR(VLOOKUP("Bi-214",$A$4:$L$32,12)/$B57,0)</f>
        <v>6.6591142711328863E-2</v>
      </c>
      <c r="M57" s="70">
        <f>IFERROR(VLOOKUP("Bi-214",$A$4:$R$32,13)/$B57,0)</f>
        <v>2.6914960274308402E-14</v>
      </c>
      <c r="N57" s="71">
        <f>IFERROR(VLOOKUP("Bi-214",$A$4:$R$32,14)/$B57,0)</f>
        <v>2.1598064464065913E-16</v>
      </c>
      <c r="O57" s="71">
        <f>IFERROR(VLOOKUP("Bi-214",$A$4:$R$32,15)/$B57,0)</f>
        <v>1.6621563863383024E-13</v>
      </c>
      <c r="P57" s="71">
        <f>IFERROR(VLOOKUP("Bi-214",$A$4:$R$32,16)/$B57,0)</f>
        <v>5.5355143979722949E-14</v>
      </c>
      <c r="Q57" s="71">
        <f>IFERROR(VLOOKUP("Bi-214",$A$4:$R$32,17)/$B57,0)</f>
        <v>4.083045955105635E-14</v>
      </c>
      <c r="R57" s="95">
        <f t="shared" si="29"/>
        <v>2113.4806840221563</v>
      </c>
    </row>
    <row r="58" spans="1:18">
      <c r="A58" s="31" t="s">
        <v>197</v>
      </c>
      <c r="B58" s="32">
        <v>0.99979000004200003</v>
      </c>
      <c r="C58" s="70">
        <f>IFERROR(VLOOKUP("Po-214",$A$4:$L$32,3)/$B58,0)</f>
        <v>268306758.53498775</v>
      </c>
      <c r="D58" s="71">
        <f>IFERROR(VLOOKUP("Po-214",$A$4:$L$32,4)/$B58,0)</f>
        <v>2255369153.4234805</v>
      </c>
      <c r="E58" s="71">
        <f>IFERROR(VLOOKUP("Po-214",$A$4:$L$32,5)/$B58,0)</f>
        <v>1598617282.0513182</v>
      </c>
      <c r="F58" s="71">
        <f>IFERROR(VLOOKUP("Po-214",$A$4:$L$32,6)/$B58,0)</f>
        <v>544982136.10955262</v>
      </c>
      <c r="G58" s="71">
        <f>IFERROR(VLOOKUP("Po-214",$A$4:$L$32,7)/$B58,0)</f>
        <v>397671253.70862782</v>
      </c>
      <c r="H58" s="70">
        <f>IFERROR(VLOOKUP("Po-214",$A$4:$L$32,8)/$B58,0)</f>
        <v>9927350.0657945573</v>
      </c>
      <c r="I58" s="71">
        <f>IFERROR(VLOOKUP("Po-214",$A$4:$L$32,9)/$B58,0)</f>
        <v>83448658.676668853</v>
      </c>
      <c r="J58" s="71">
        <f>IFERROR(VLOOKUP("Po-214",$A$4:$L$32,10)/$B58,0)</f>
        <v>59148839.435898833</v>
      </c>
      <c r="K58" s="71">
        <f>IFERROR(VLOOKUP("Po-214",$A$4:$L$32,11)/$B58,0)</f>
        <v>20164339.036053468</v>
      </c>
      <c r="L58" s="71">
        <f>IFERROR(VLOOKUP("Po-214",$A$4:$L$32,12)/$B58,0)</f>
        <v>14713836.387219245</v>
      </c>
      <c r="M58" s="70">
        <f>IFERROR(VLOOKUP("Po-214",$A$4:$R$32,13)/$B58,0)</f>
        <v>8.3759557382157364E-13</v>
      </c>
      <c r="N58" s="71">
        <f>IFERROR(VLOOKUP("Po-214",$A$4:$R$32,14)/$B58,0)</f>
        <v>7.0407738908853318E-15</v>
      </c>
      <c r="O58" s="71">
        <f>IFERROR(VLOOKUP("Po-214",$A$4:$R$32,15)/$B58,0)</f>
        <v>4.9905368280398743E-12</v>
      </c>
      <c r="P58" s="71">
        <f>IFERROR(VLOOKUP("Po-214",$A$4:$R$32,16)/$B58,0)</f>
        <v>1.7013161632962087E-12</v>
      </c>
      <c r="Q58" s="71">
        <f>IFERROR(VLOOKUP("Po-214",$A$4:$R$32,17)/$B58,0)</f>
        <v>1.2414435020614185E-12</v>
      </c>
      <c r="R58" s="95">
        <f t="shared" si="29"/>
        <v>500691952060.0127</v>
      </c>
    </row>
    <row r="59" spans="1:18">
      <c r="A59" s="31" t="s">
        <v>198</v>
      </c>
      <c r="B59" s="32">
        <v>2.0999995799999999E-4</v>
      </c>
      <c r="C59" s="70">
        <f>IFERROR(VLOOKUP("Tl-210",$A$4:$L$32,3)/$B59,0)</f>
        <v>1278.9576273112077</v>
      </c>
      <c r="D59" s="71">
        <f>IFERROR(VLOOKUP("Tl-210",$A$4:$L$32,4)/$B59,0)</f>
        <v>8441.7629669896542</v>
      </c>
      <c r="E59" s="71">
        <f>IFERROR(VLOOKUP("Tl-210",$A$4:$L$32,5)/$B59,0)</f>
        <v>7139.6163774695578</v>
      </c>
      <c r="F59" s="71">
        <f>IFERROR(VLOOKUP("Tl-210",$A$4:$L$32,6)/$B59,0)</f>
        <v>2443.4724612192003</v>
      </c>
      <c r="G59" s="71">
        <f>IFERROR(VLOOKUP("Tl-210",$A$4:$L$32,7)/$B59,0)</f>
        <v>1778.0020964648108</v>
      </c>
      <c r="H59" s="70">
        <f>IFERROR(VLOOKUP("Tl-210",$A$4:$L$32,8)/$B59,0)</f>
        <v>47.321432210514736</v>
      </c>
      <c r="I59" s="71">
        <f>IFERROR(VLOOKUP("Tl-210",$A$4:$L$32,9)/$B59,0)</f>
        <v>312.34522977861752</v>
      </c>
      <c r="J59" s="71">
        <f>IFERROR(VLOOKUP("Tl-210",$A$4:$L$32,10)/$B59,0)</f>
        <v>264.16580596637391</v>
      </c>
      <c r="K59" s="71">
        <f>IFERROR(VLOOKUP("Tl-210",$A$4:$L$32,11)/$B59,0)</f>
        <v>90.408481065110507</v>
      </c>
      <c r="L59" s="71">
        <f>IFERROR(VLOOKUP("Tl-210",$A$4:$L$32,12)/$B59,0)</f>
        <v>65.786077569198071</v>
      </c>
      <c r="M59" s="70">
        <f>IFERROR(VLOOKUP("Tl-210",$A$4:$R$32,13)/$B59,0)</f>
        <v>1.860036549308737E-12</v>
      </c>
      <c r="N59" s="71">
        <f>IFERROR(VLOOKUP("Tl-210",$A$4:$R$32,14)/$B59,0)</f>
        <v>1.2277175821854631E-14</v>
      </c>
      <c r="O59" s="71">
        <f>IFERROR(VLOOKUP("Tl-210",$A$4:$R$32,15)/$B59,0)</f>
        <v>1.0383414685954426E-11</v>
      </c>
      <c r="P59" s="71">
        <f>IFERROR(VLOOKUP("Tl-210",$A$4:$R$32,16)/$B59,0)</f>
        <v>3.5536346068415687E-12</v>
      </c>
      <c r="Q59" s="71">
        <f>IFERROR(VLOOKUP("Tl-210",$A$4:$R$32,17)/$B59,0)</f>
        <v>2.5858158343563179E-12</v>
      </c>
      <c r="R59" s="95">
        <f t="shared" si="29"/>
        <v>1874071.3786717034</v>
      </c>
    </row>
    <row r="60" spans="1:18">
      <c r="A60" s="31" t="s">
        <v>199</v>
      </c>
      <c r="B60" s="32">
        <v>1</v>
      </c>
      <c r="C60" s="70">
        <f>IFERROR(VLOOKUP("Pb-210",$A$4:$L$32,3)/$B60,0)</f>
        <v>51027.421298933739</v>
      </c>
      <c r="D60" s="71">
        <f>IFERROR(VLOOKUP("Pb-210",$A$4:$L$32,4)/$B60,0)</f>
        <v>9274.027886807824</v>
      </c>
      <c r="E60" s="71">
        <f>IFERROR(VLOOKUP("Pb-210",$A$4:$L$32,5)/$B60,0)</f>
        <v>36201.619477710665</v>
      </c>
      <c r="F60" s="71">
        <f>IFERROR(VLOOKUP("Pb-210",$A$4:$L$32,6)/$B60,0)</f>
        <v>23691.843860369183</v>
      </c>
      <c r="G60" s="71">
        <f>IFERROR(VLOOKUP("Pb-210",$A$4:$L$32,7)/$B60,0)</f>
        <v>24761.207919257478</v>
      </c>
      <c r="H60" s="70">
        <f>IFERROR(VLOOKUP("Pb-210",$A$4:$L$32,8)/$B60,0)</f>
        <v>1888.0145880605503</v>
      </c>
      <c r="I60" s="71">
        <f>IFERROR(VLOOKUP("Pb-210",$A$4:$L$32,9)/$B60,0)</f>
        <v>343.13903181188982</v>
      </c>
      <c r="J60" s="71">
        <f>IFERROR(VLOOKUP("Pb-210",$A$4:$L$32,10)/$B60,0)</f>
        <v>1339.459920675296</v>
      </c>
      <c r="K60" s="71">
        <f>IFERROR(VLOOKUP("Pb-210",$A$4:$L$32,11)/$B60,0)</f>
        <v>876.59822283366066</v>
      </c>
      <c r="L60" s="71">
        <f>IFERROR(VLOOKUP("Pb-210",$A$4:$L$32,12)/$B60,0)</f>
        <v>916.16469301252766</v>
      </c>
      <c r="M60" s="70">
        <f>IFERROR(VLOOKUP("Pb-210",$A$4:$R$32,13)/$B60,0)</f>
        <v>6.6609154666776135E-4</v>
      </c>
      <c r="N60" s="71">
        <f>IFERROR(VLOOKUP("Pb-210",$A$4:$R$32,14)/$B60,0)</f>
        <v>1.2105945042323461E-7</v>
      </c>
      <c r="O60" s="71">
        <f>IFERROR(VLOOKUP("Pb-210",$A$4:$R$32,15)/$B60,0)</f>
        <v>4.7256146001424385E-4</v>
      </c>
      <c r="P60" s="71">
        <f>IFERROR(VLOOKUP("Pb-210",$A$4:$R$32,16)/$B60,0)</f>
        <v>3.0926385301571513E-4</v>
      </c>
      <c r="Q60" s="71">
        <f>IFERROR(VLOOKUP("Pb-210",$A$4:$R$32,17)/$B60,0)</f>
        <v>3.2322290369481941E-4</v>
      </c>
      <c r="R60" s="95">
        <f t="shared" si="29"/>
        <v>2058834.190871337</v>
      </c>
    </row>
    <row r="61" spans="1:18">
      <c r="A61" s="31" t="s">
        <v>200</v>
      </c>
      <c r="B61" s="32">
        <v>1</v>
      </c>
      <c r="C61" s="70">
        <f>IFERROR(VLOOKUP("Bi-210",$A$4:$L$32,3)/$B61,0)</f>
        <v>2329544549.1619167</v>
      </c>
      <c r="D61" s="71">
        <f>IFERROR(VLOOKUP("Bi-210",$A$4:$L$32,4)/$B61,0)</f>
        <v>306143795.49569964</v>
      </c>
      <c r="E61" s="71">
        <f>IFERROR(VLOOKUP("Bi-210",$A$4:$L$32,5)/$B61,0)</f>
        <v>3440114649.0533895</v>
      </c>
      <c r="F61" s="71">
        <f>IFERROR(VLOOKUP("Bi-210",$A$4:$L$32,6)/$B61,0)</f>
        <v>2377188904.0100951</v>
      </c>
      <c r="G61" s="71">
        <f>IFERROR(VLOOKUP("Bi-210",$A$4:$L$32,7)/$B61,0)</f>
        <v>2375492376.9149351</v>
      </c>
      <c r="H61" s="70">
        <f>IFERROR(VLOOKUP("Bi-210",$A$4:$L$32,8)/$B61,0)</f>
        <v>86193148.318991005</v>
      </c>
      <c r="I61" s="71">
        <f>IFERROR(VLOOKUP("Bi-210",$A$4:$L$32,9)/$B61,0)</f>
        <v>11327320.433340898</v>
      </c>
      <c r="J61" s="71">
        <f>IFERROR(VLOOKUP("Bi-210",$A$4:$L$32,10)/$B61,0)</f>
        <v>127284242.01497555</v>
      </c>
      <c r="K61" s="71">
        <f>IFERROR(VLOOKUP("Bi-210",$A$4:$L$32,11)/$B61,0)</f>
        <v>87955989.448373616</v>
      </c>
      <c r="L61" s="71">
        <f>IFERROR(VLOOKUP("Bi-210",$A$4:$L$32,12)/$B61,0)</f>
        <v>87893217.945852682</v>
      </c>
      <c r="M61" s="70">
        <f>IFERROR(VLOOKUP("Bi-210",$A$4:$R$32,13)/$B61,0)</f>
        <v>1.8812789076903001E-2</v>
      </c>
      <c r="N61" s="71">
        <f>IFERROR(VLOOKUP("Bi-210",$A$4:$R$32,14)/$B61,0)</f>
        <v>2.472336772411221E-6</v>
      </c>
      <c r="O61" s="71">
        <f>IFERROR(VLOOKUP("Bi-210",$A$4:$R$32,15)/$B61,0)</f>
        <v>2.7781461108476672E-2</v>
      </c>
      <c r="P61" s="71">
        <f>IFERROR(VLOOKUP("Bi-210",$A$4:$R$32,16)/$B61,0)</f>
        <v>1.919755235553889E-2</v>
      </c>
      <c r="Q61" s="71">
        <f>IFERROR(VLOOKUP("Bi-210",$A$4:$R$32,17)/$B61,0)</f>
        <v>1.9183851648928243E-2</v>
      </c>
      <c r="R61" s="95">
        <f t="shared" si="29"/>
        <v>67963922600.045326</v>
      </c>
    </row>
    <row r="62" spans="1:18">
      <c r="A62" s="31" t="s">
        <v>202</v>
      </c>
      <c r="B62" s="32">
        <v>1</v>
      </c>
      <c r="C62" s="70">
        <f>IFERROR(VLOOKUP("Po-210",$A$4:$L$32,3)/$B62,0)</f>
        <v>19634159050.967266</v>
      </c>
      <c r="D62" s="71">
        <f>IFERROR(VLOOKUP("Po-210",$A$4:$L$32,4)/$B62,0)</f>
        <v>165604621688.10611</v>
      </c>
      <c r="E62" s="71">
        <f>IFERROR(VLOOKUP("Po-210",$A$4:$L$32,5)/$B62,0)</f>
        <v>117346325616.99806</v>
      </c>
      <c r="F62" s="71">
        <f>IFERROR(VLOOKUP("Po-210",$A$4:$L$32,6)/$B62,0)</f>
        <v>39958126190.326263</v>
      </c>
      <c r="G62" s="71">
        <f>IFERROR(VLOOKUP("Po-210",$A$4:$L$32,7)/$B62,0)</f>
        <v>29305140731.717205</v>
      </c>
      <c r="H62" s="70">
        <f>IFERROR(VLOOKUP("Po-210",$A$4:$L$32,8)/$B62,0)</f>
        <v>726463884.88578963</v>
      </c>
      <c r="I62" s="71">
        <f>IFERROR(VLOOKUP("Po-210",$A$4:$L$32,9)/$B62,0)</f>
        <v>6127371002.4599323</v>
      </c>
      <c r="J62" s="71">
        <f>IFERROR(VLOOKUP("Po-210",$A$4:$L$32,10)/$B62,0)</f>
        <v>4341814047.8289328</v>
      </c>
      <c r="K62" s="71">
        <f>IFERROR(VLOOKUP("Po-210",$A$4:$L$32,11)/$B62,0)</f>
        <v>1478450669.0420732</v>
      </c>
      <c r="L62" s="71">
        <f>IFERROR(VLOOKUP("Po-210",$A$4:$L$32,12)/$B62,0)</f>
        <v>1084290207.0735376</v>
      </c>
      <c r="M62" s="70">
        <f>IFERROR(VLOOKUP("Po-210",$A$4:$R$32,13)/$B62,0)</f>
        <v>4.3768084355833805</v>
      </c>
      <c r="N62" s="71">
        <f>IFERROR(VLOOKUP("Po-210",$A$4:$R$32,14)/$B62,0)</f>
        <v>3.6916259224272177E-2</v>
      </c>
      <c r="O62" s="71">
        <f>IFERROR(VLOOKUP("Po-210",$A$4:$R$32,15)/$B62,0)</f>
        <v>26.158614000831825</v>
      </c>
      <c r="P62" s="71">
        <f>IFERROR(VLOOKUP("Po-210",$A$4:$R$32,16)/$B62,0)</f>
        <v>8.907387544632801</v>
      </c>
      <c r="Q62" s="71">
        <f>IFERROR(VLOOKUP("Po-210",$A$4:$R$32,17)/$B62,0)</f>
        <v>6.5326448068179017</v>
      </c>
      <c r="R62" s="95">
        <f>IF(D62&lt;&gt;".",D62*2.22*100,".")</f>
        <v>36764226014759.555</v>
      </c>
    </row>
    <row r="63" spans="1:18">
      <c r="A63" s="31" t="s">
        <v>201</v>
      </c>
      <c r="B63" s="34">
        <v>1.9000000000000001E-8</v>
      </c>
      <c r="C63" s="70">
        <f>IFERROR(VLOOKUP("Hg-206",$A$4:$L$32,3)/$B63,0)</f>
        <v>3171730678.4215393</v>
      </c>
      <c r="D63" s="71">
        <f>IFERROR(VLOOKUP("Hg-206",$A$4:$L$32,4)/$B63,0)</f>
        <v>10352675184.458937</v>
      </c>
      <c r="E63" s="71">
        <f>IFERROR(VLOOKUP("Hg-206",$A$4:$L$32,5)/$B63,0)</f>
        <v>11438721790.241459</v>
      </c>
      <c r="F63" s="71">
        <f>IFERROR(VLOOKUP("Hg-206",$A$4:$L$32,6)/$B63,0)</f>
        <v>4143647963.0084009</v>
      </c>
      <c r="G63" s="71">
        <f>IFERROR(VLOOKUP("Hg-206",$A$4:$L$32,7)/$B63,0)</f>
        <v>3309393059.1765943</v>
      </c>
      <c r="H63" s="70">
        <f>IFERROR(VLOOKUP("Hg-206",$A$4:$L$32,8)/$B63,0)</f>
        <v>117354035.10159707</v>
      </c>
      <c r="I63" s="71">
        <f>IFERROR(VLOOKUP("Hg-206",$A$4:$L$32,9)/$B63,0)</f>
        <v>383048981.82498097</v>
      </c>
      <c r="J63" s="71">
        <f>IFERROR(VLOOKUP("Hg-206",$A$4:$L$32,10)/$B63,0)</f>
        <v>423232706.23893446</v>
      </c>
      <c r="K63" s="71">
        <f>IFERROR(VLOOKUP("Hg-206",$A$4:$L$32,11)/$B63,0)</f>
        <v>153314974.631311</v>
      </c>
      <c r="L63" s="71">
        <f>IFERROR(VLOOKUP("Hg-206",$A$4:$L$32,12)/$B63,0)</f>
        <v>122447543.1895341</v>
      </c>
      <c r="M63" s="70">
        <f>IFERROR(VLOOKUP("Hg-206",$A$4:$R$32,13)/$B63,0)</f>
        <v>2.8367679187225068E-5</v>
      </c>
      <c r="N63" s="71">
        <f>IFERROR(VLOOKUP("Hg-206",$A$4:$R$32,14)/$B63,0)</f>
        <v>9.2593412915005845E-8</v>
      </c>
      <c r="O63" s="71">
        <f>IFERROR(VLOOKUP("Hg-206",$A$4:$R$32,15)/$B63,0)</f>
        <v>1.0230691788086431E-4</v>
      </c>
      <c r="P63" s="71">
        <f>IFERROR(VLOOKUP("Hg-206",$A$4:$R$32,16)/$B63,0)</f>
        <v>3.706042157965297E-5</v>
      </c>
      <c r="Q63" s="71">
        <f>IFERROR(VLOOKUP("Hg-206",$A$4:$R$32,17)/$B63,0)</f>
        <v>2.9598919367854931E-5</v>
      </c>
      <c r="R63" s="95">
        <f t="shared" si="29"/>
        <v>2298293890949.8838</v>
      </c>
    </row>
    <row r="64" spans="1:18">
      <c r="A64" s="31" t="s">
        <v>203</v>
      </c>
      <c r="B64" s="32">
        <v>1.339E-6</v>
      </c>
      <c r="C64" s="70">
        <f>IFERROR(VLOOKUP("Tl-206",$A$4:$L$32,3)/$B64,0)</f>
        <v>1382721606267.4902</v>
      </c>
      <c r="D64" s="71">
        <f>IFERROR(VLOOKUP("Tl-206",$A$4:$L$32,4)/$B64,0)</f>
        <v>109619691615.33549</v>
      </c>
      <c r="E64" s="71">
        <f>IFERROR(VLOOKUP("Tl-206",$A$4:$L$32,5)/$B64,0)</f>
        <v>1278369105484.6147</v>
      </c>
      <c r="F64" s="71">
        <f>IFERROR(VLOOKUP("Tl-206",$A$4:$L$32,6)/$B64,0)</f>
        <v>1157236059431.5098</v>
      </c>
      <c r="G64" s="71">
        <f>IFERROR(VLOOKUP("Tl-206",$A$4:$L$32,7)/$B64,0)</f>
        <v>937320469019.32214</v>
      </c>
      <c r="H64" s="70">
        <f>IFERROR(VLOOKUP("Tl-206",$A$4:$L$32,8)/$B64,0)</f>
        <v>51160699431.897194</v>
      </c>
      <c r="I64" s="71">
        <f>IFERROR(VLOOKUP("Tl-206",$A$4:$L$32,9)/$B64,0)</f>
        <v>4055928589.7674174</v>
      </c>
      <c r="J64" s="71">
        <f>IFERROR(VLOOKUP("Tl-206",$A$4:$L$32,10)/$B64,0)</f>
        <v>47299656902.930786</v>
      </c>
      <c r="K64" s="71">
        <f>IFERROR(VLOOKUP("Tl-206",$A$4:$L$32,11)/$B64,0)</f>
        <v>42817734198.965912</v>
      </c>
      <c r="L64" s="71">
        <f>IFERROR(VLOOKUP("Tl-206",$A$4:$L$32,12)/$B64,0)</f>
        <v>34680857353.714958</v>
      </c>
      <c r="M64" s="70">
        <f>IFERROR(VLOOKUP("Tl-206",$A$4:$R$32,13)/$B64,0)</f>
        <v>6.373146983408259E-3</v>
      </c>
      <c r="N64" s="71">
        <f>IFERROR(VLOOKUP("Tl-206",$A$4:$R$32,14)/$B64,0)</f>
        <v>5.0525167450465745E-7</v>
      </c>
      <c r="O64" s="71">
        <f>IFERROR(VLOOKUP("Tl-206",$A$4:$R$32,15)/$B64,0)</f>
        <v>5.8921724889323011E-3</v>
      </c>
      <c r="P64" s="71">
        <f>IFERROR(VLOOKUP("Tl-206",$A$4:$R$32,16)/$B64,0)</f>
        <v>5.3338542392245185E-3</v>
      </c>
      <c r="Q64" s="71">
        <f>IFERROR(VLOOKUP("Tl-206",$A$4:$R$32,17)/$B64,0)</f>
        <v>4.3202341617721756E-3</v>
      </c>
      <c r="R64" s="95">
        <f t="shared" ref="R64:R68" si="33">IF(D64&lt;&gt;".",D64*2.22*100,".")</f>
        <v>24335571538604.484</v>
      </c>
    </row>
    <row r="65" spans="1:18">
      <c r="A65" s="30" t="s">
        <v>31</v>
      </c>
      <c r="B65" s="30" t="s">
        <v>59</v>
      </c>
      <c r="C65" s="76">
        <f>IFERROR(1/SUM(1/C66,1/C69,1/C70,1/C71,1/C72,1/C73,1/C74,1/C75,1/C76,1/C77,1/C78),0)</f>
        <v>1.0895894219865134</v>
      </c>
      <c r="D65" s="77">
        <f t="shared" ref="D65:G65" si="34">IFERROR(1/SUM(1/D66,1/D69,1/D70,1/D71,1/D72,1/D73,1/D74,1/D75,1/D76,1/D77,1/D78),0)</f>
        <v>7.9819539863801783</v>
      </c>
      <c r="E65" s="77">
        <f t="shared" si="34"/>
        <v>6.3634408675892269</v>
      </c>
      <c r="F65" s="77">
        <f t="shared" si="34"/>
        <v>2.1397587241014215</v>
      </c>
      <c r="G65" s="78">
        <f t="shared" si="34"/>
        <v>1.5902450291743411</v>
      </c>
      <c r="H65" s="76">
        <f>IFERROR(1/SUM(1/H66,1/H69,1/H70,1/H71,1/H72,1/H73,1/H74,1/H75,1/H76,1/H77,1/H78),0)</f>
        <v>4.0314808613501021E-2</v>
      </c>
      <c r="I65" s="77">
        <f t="shared" ref="I65:L65" si="35">IFERROR(1/SUM(1/I66,1/I69,1/I70,1/I71,1/I72,1/I73,1/I74,1/I75,1/I76,1/I77,1/I78),0)</f>
        <v>0.29533229749606682</v>
      </c>
      <c r="J65" s="77">
        <f t="shared" si="35"/>
        <v>0.23544731210080158</v>
      </c>
      <c r="K65" s="77">
        <f t="shared" si="35"/>
        <v>7.9171072791752672E-2</v>
      </c>
      <c r="L65" s="78">
        <f t="shared" si="35"/>
        <v>5.8839066079450698E-2</v>
      </c>
      <c r="M65" s="20">
        <f>IFERROR(C65*VLOOKUP("Rn-222",Isospec!$A$3:$R$31,3)*VLOOKUP("Rn-222",Isospec!$A$3:$R$31,6)*SSLgram,".")</f>
        <v>7.0948319680175583E-12</v>
      </c>
      <c r="N65" s="19">
        <f>IFERROR(D65*VLOOKUP("Rn-222",Isospec!$A$3:$R$31,3)*VLOOKUP("Rn-222",Isospec!$A$3:$R$31,6)*SSLcm_m,".")</f>
        <v>5.1974276885478284E-14</v>
      </c>
      <c r="O65" s="19">
        <f>IFERROR(E65*VLOOKUP("Rn-222",Isospec!$A$3:$R$31,3)*VLOOKUP("Rn-222",Isospec!$A$3:$R$31,6)*SSLgram,".")</f>
        <v>4.1435372611868335E-11</v>
      </c>
      <c r="P65" s="19">
        <f>IFERROR(F65*VLOOKUP("Rn-222",Isospec!$A$3:$R$31,3)*VLOOKUP("Rn-222",Isospec!$A$3:$R$31,6)*SSLgram,".")</f>
        <v>1.3932980894694422E-11</v>
      </c>
      <c r="Q65" s="21">
        <f>IFERROR(G65*VLOOKUP("Rn-222",Isospec!$A$3:$R$31,3)*VLOOKUP("Rn-222",Isospec!$A$3:$R$31,6)*SSLgram,".")</f>
        <v>1.0354837374794908E-11</v>
      </c>
      <c r="R65" s="94">
        <f t="shared" si="33"/>
        <v>1771.9937849763999</v>
      </c>
    </row>
    <row r="66" spans="1:18">
      <c r="A66" s="31" t="s">
        <v>191</v>
      </c>
      <c r="B66" s="32">
        <v>1</v>
      </c>
      <c r="C66" s="70">
        <f>IFERROR(VLOOKUP("Rn-222",$A$4:$L$32,3)/$B66,0)</f>
        <v>8872228.1879057307</v>
      </c>
      <c r="D66" s="71">
        <f>IFERROR(VLOOKUP("Rn-222",$A$4:$L$32,4)/$B66,0)</f>
        <v>61396323.193612874</v>
      </c>
      <c r="E66" s="71">
        <f>IFERROR(VLOOKUP("Rn-222",$A$4:$L$32,5)/$B66,0)</f>
        <v>46314273.378173947</v>
      </c>
      <c r="F66" s="71">
        <f>IFERROR(VLOOKUP("Rn-222",$A$4:$L$32,6)/$B66,0)</f>
        <v>13964191.545418082</v>
      </c>
      <c r="G66" s="71">
        <f>IFERROR(VLOOKUP("Rn-222",$A$4:$L$32,7)/$B66,0)</f>
        <v>9690988.9674442131</v>
      </c>
      <c r="H66" s="70">
        <f>IFERROR(VLOOKUP("Rn-222",$A$4:$L$32,8)/$B66,0)</f>
        <v>328272.44295251236</v>
      </c>
      <c r="I66" s="71">
        <f>IFERROR(VLOOKUP("Rn-222",$A$4:$L$32,9)/$B66,0)</f>
        <v>2271663.9581636786</v>
      </c>
      <c r="J66" s="71">
        <f>IFERROR(VLOOKUP("Rn-222",$A$4:$L$32,10)/$B66,0)</f>
        <v>1713628.1149924379</v>
      </c>
      <c r="K66" s="71">
        <f>IFERROR(VLOOKUP("Rn-222",$A$4:$L$32,11)/$B66,0)</f>
        <v>516675.08718046953</v>
      </c>
      <c r="L66" s="71">
        <f>IFERROR(VLOOKUP("Rn-222",$A$4:$L$32,12)/$B66,0)</f>
        <v>358566.59179543622</v>
      </c>
      <c r="M66" s="70">
        <f>IFERROR(VLOOKUP("Rn-222",$A$4:$R$32,13)/$B66,0)</f>
        <v>5.7771273201548393E-5</v>
      </c>
      <c r="N66" s="71">
        <f>IFERROR(VLOOKUP("Rn-222",$A$4:$R$32,14)/$B66,0)</f>
        <v>3.9978049320505814E-7</v>
      </c>
      <c r="O66" s="71">
        <f>IFERROR(VLOOKUP("Rn-222",$A$4:$R$32,15)/$B66,0)</f>
        <v>3.015741349066073E-4</v>
      </c>
      <c r="P66" s="71">
        <f>IFERROR(VLOOKUP("Rn-222",$A$4:$R$32,16)/$B66,0)</f>
        <v>9.0927454493201773E-5</v>
      </c>
      <c r="Q66" s="71">
        <f>IFERROR(VLOOKUP("Rn-222",$A$4:$R$32,17)/$B66,0)</f>
        <v>6.3102611810028861E-5</v>
      </c>
      <c r="R66" s="95">
        <f t="shared" si="33"/>
        <v>13629983748.982059</v>
      </c>
    </row>
    <row r="67" spans="1:18">
      <c r="A67" s="31" t="s">
        <v>192</v>
      </c>
      <c r="B67" s="32">
        <v>1</v>
      </c>
      <c r="C67" s="70">
        <f>IFERROR(VLOOKUP("Po-218",$A$4:$L$32,3)/$B67,0)</f>
        <v>0</v>
      </c>
      <c r="D67" s="71">
        <f>IFERROR(VLOOKUP("Po-218",$A$4:$L$32,4)/$B67,0)</f>
        <v>0</v>
      </c>
      <c r="E67" s="71">
        <f>IFERROR(VLOOKUP("Po-218",$A$4:$L$32,5)/$B67,0)</f>
        <v>0</v>
      </c>
      <c r="F67" s="71">
        <f>IFERROR(VLOOKUP("Po-218",$A$4:$L$32,6)/$B67,0)</f>
        <v>0</v>
      </c>
      <c r="G67" s="71">
        <f>IFERROR(VLOOKUP("Po-218",$A$4:$L$32,7)/$B67,0)</f>
        <v>0</v>
      </c>
      <c r="H67" s="70">
        <f>IFERROR(VLOOKUP("Po-218",$A$4:$L$32,8)/$B67,0)</f>
        <v>0</v>
      </c>
      <c r="I67" s="71">
        <f>IFERROR(VLOOKUP("Po-218",$A$4:$L$32,9)/$B67,0)</f>
        <v>0</v>
      </c>
      <c r="J67" s="71">
        <f>IFERROR(VLOOKUP("Po-218",$A$4:$L$32,10)/$B67,0)</f>
        <v>0</v>
      </c>
      <c r="K67" s="71">
        <f>IFERROR(VLOOKUP("Po-218",$A$4:$L$32,11)/$B67,0)</f>
        <v>0</v>
      </c>
      <c r="L67" s="71">
        <f>IFERROR(VLOOKUP("Po-218",$A$4:$L$32,12)/$B67,0)</f>
        <v>0</v>
      </c>
      <c r="M67" s="70">
        <f>IFERROR(VLOOKUP("Po-218",$A$4:$R$32,13)/$B67,0)</f>
        <v>0</v>
      </c>
      <c r="N67" s="71">
        <f>IFERROR(VLOOKUP("Po-218",$A$4:$R$32,14)/$B67,0)</f>
        <v>0</v>
      </c>
      <c r="O67" s="71">
        <f>IFERROR(VLOOKUP("Po-218",$A$4:$R$32,15)/$B67,0)</f>
        <v>0</v>
      </c>
      <c r="P67" s="71">
        <f>IFERROR(VLOOKUP("Po-218",$A$4:$R$32,16)/$B67,0)</f>
        <v>0</v>
      </c>
      <c r="Q67" s="71">
        <f>IFERROR(VLOOKUP("Po-218",$A$4:$R$32,17)/$B67,0)</f>
        <v>0</v>
      </c>
      <c r="R67" s="95">
        <f t="shared" si="33"/>
        <v>0</v>
      </c>
    </row>
    <row r="68" spans="1:18">
      <c r="A68" s="31" t="s">
        <v>194</v>
      </c>
      <c r="B68" s="32">
        <v>2.0000000000000001E-4</v>
      </c>
      <c r="C68" s="70">
        <f>IFERROR(VLOOKUP("At-218",$A$4:$L$32,3)/$B68,0)</f>
        <v>0</v>
      </c>
      <c r="D68" s="71">
        <f>IFERROR(VLOOKUP("At-218",$A$4:$L$32,4)/$B68,0)</f>
        <v>0</v>
      </c>
      <c r="E68" s="71">
        <f>IFERROR(VLOOKUP("At-218",$A$4:$L$32,5)/$B68,0)</f>
        <v>0</v>
      </c>
      <c r="F68" s="71">
        <f>IFERROR(VLOOKUP("At-218",$A$4:$L$32,6)/$B68,0)</f>
        <v>0</v>
      </c>
      <c r="G68" s="71">
        <f>IFERROR(VLOOKUP("At-218",$A$4:$L$32,7)/$B68,0)</f>
        <v>0</v>
      </c>
      <c r="H68" s="70">
        <f>IFERROR(VLOOKUP("At-218",$A$4:$L$32,8)/$B68,0)</f>
        <v>0</v>
      </c>
      <c r="I68" s="71">
        <f>IFERROR(VLOOKUP("At-218",$A$4:$L$32,9)/$B68,0)</f>
        <v>0</v>
      </c>
      <c r="J68" s="71">
        <f>IFERROR(VLOOKUP("At-218",$A$4:$L$32,10)/$B68,0)</f>
        <v>0</v>
      </c>
      <c r="K68" s="71">
        <f>IFERROR(VLOOKUP("At-218",$A$4:$L$32,11)/$B68,0)</f>
        <v>0</v>
      </c>
      <c r="L68" s="71">
        <f>IFERROR(VLOOKUP("At-218",$A$4:$L$32,12)/$B68,0)</f>
        <v>0</v>
      </c>
      <c r="M68" s="70">
        <f>IFERROR(VLOOKUP("At-218",$A$4:$R$32,13)/$B68,0)</f>
        <v>0</v>
      </c>
      <c r="N68" s="71">
        <f>IFERROR(VLOOKUP("At-218",$A$4:$R$32,14)/$B68,0)</f>
        <v>0</v>
      </c>
      <c r="O68" s="71">
        <f>IFERROR(VLOOKUP("At-218",$A$4:$R$32,15)/$B68,0)</f>
        <v>0</v>
      </c>
      <c r="P68" s="71">
        <f>IFERROR(VLOOKUP("At-218",$A$4:$R$32,16)/$B68,0)</f>
        <v>0</v>
      </c>
      <c r="Q68" s="71">
        <f>IFERROR(VLOOKUP("At-218",$A$4:$R$32,17)/$B68,0)</f>
        <v>0</v>
      </c>
      <c r="R68" s="95">
        <f t="shared" si="33"/>
        <v>0</v>
      </c>
    </row>
    <row r="69" spans="1:18">
      <c r="A69" s="31" t="s">
        <v>196</v>
      </c>
      <c r="B69" s="32">
        <v>1.9999999999999999E-7</v>
      </c>
      <c r="C69" s="70">
        <f>IFERROR(VLOOKUP("Rn-218",$A$4:$L$32,3)/$B69,0)</f>
        <v>13802369146939.379</v>
      </c>
      <c r="D69" s="71">
        <f>IFERROR(VLOOKUP("Rn-218",$A$4:$L$32,4)/$B69,0)</f>
        <v>99569339201270.313</v>
      </c>
      <c r="E69" s="71">
        <f>IFERROR(VLOOKUP("Rn-218",$A$4:$L$32,5)/$B69,0)</f>
        <v>72256612175045.469</v>
      </c>
      <c r="F69" s="71">
        <f>IFERROR(VLOOKUP("Rn-218",$A$4:$L$32,6)/$B69,0)</f>
        <v>23072785950501.176</v>
      </c>
      <c r="G69" s="71">
        <f>IFERROR(VLOOKUP("Rn-218",$A$4:$L$32,7)/$B69,0)</f>
        <v>18764643893225.016</v>
      </c>
      <c r="H69" s="70">
        <f>IFERROR(VLOOKUP("Rn-218",$A$4:$L$32,8)/$B69,0)</f>
        <v>510687658436.75757</v>
      </c>
      <c r="I69" s="71">
        <f>IFERROR(VLOOKUP("Rn-218",$A$4:$L$32,9)/$B69,0)</f>
        <v>3684065550447.0054</v>
      </c>
      <c r="J69" s="71">
        <f>IFERROR(VLOOKUP("Rn-218",$A$4:$L$32,10)/$B69,0)</f>
        <v>2673494650476.6851</v>
      </c>
      <c r="K69" s="71">
        <f>IFERROR(VLOOKUP("Rn-218",$A$4:$L$32,11)/$B69,0)</f>
        <v>853693080168.54431</v>
      </c>
      <c r="L69" s="71">
        <f>IFERROR(VLOOKUP("Rn-218",$A$4:$L$32,12)/$B69,0)</f>
        <v>694291824049.32629</v>
      </c>
      <c r="M69" s="70">
        <f>IFERROR(VLOOKUP("Rn-218",$A$4:$R$32,13)/$B69,0)</f>
        <v>9.3503873178343265E-6</v>
      </c>
      <c r="N69" s="71">
        <f>IFERROR(VLOOKUP("Rn-218",$A$4:$R$32,14)/$B69,0)</f>
        <v>6.7453049299087222E-8</v>
      </c>
      <c r="O69" s="71">
        <f>IFERROR(VLOOKUP("Rn-218",$A$4:$R$32,15)/$B69,0)</f>
        <v>4.8950097111482942E-5</v>
      </c>
      <c r="P69" s="71">
        <f>IFERROR(VLOOKUP("Rn-218",$A$4:$R$32,16)/$B69,0)</f>
        <v>1.5630612602946619E-5</v>
      </c>
      <c r="Q69" s="71">
        <f>IFERROR(VLOOKUP("Rn-218",$A$4:$R$32,17)/$B69,0)</f>
        <v>1.2712070400015014E-5</v>
      </c>
      <c r="R69" s="95">
        <f>IF(D69&lt;&gt;".",D69*2.22*100,".")</f>
        <v>2.2104393302682012E+16</v>
      </c>
    </row>
    <row r="70" spans="1:18">
      <c r="A70" s="31" t="s">
        <v>193</v>
      </c>
      <c r="B70" s="32">
        <v>0.99980000000000002</v>
      </c>
      <c r="C70" s="70">
        <f>IFERROR(VLOOKUP("Pb-214",$A$4:$L$32,3)/$B70,0)</f>
        <v>13.499680781245738</v>
      </c>
      <c r="D70" s="71">
        <f>IFERROR(VLOOKUP("Pb-214",$A$4:$L$32,4)/$B70,0)</f>
        <v>49.959270978277765</v>
      </c>
      <c r="E70" s="71">
        <f>IFERROR(VLOOKUP("Pb-214",$A$4:$L$32,5)/$B70,0)</f>
        <v>48.801963680889699</v>
      </c>
      <c r="F70" s="71">
        <f>IFERROR(VLOOKUP("Pb-214",$A$4:$L$32,6)/$B70,0)</f>
        <v>17.527402558883107</v>
      </c>
      <c r="G70" s="71">
        <f>IFERROR(VLOOKUP("Pb-214",$A$4:$L$32,7)/$B70,0)</f>
        <v>13.773812695931717</v>
      </c>
      <c r="H70" s="70">
        <f>IFERROR(VLOOKUP("Pb-214",$A$4:$L$32,8)/$B70,0)</f>
        <v>0.49948818890609281</v>
      </c>
      <c r="I70" s="71">
        <f>IFERROR(VLOOKUP("Pb-214",$A$4:$L$32,9)/$B70,0)</f>
        <v>1.8484930261962793</v>
      </c>
      <c r="J70" s="71">
        <f>IFERROR(VLOOKUP("Pb-214",$A$4:$L$32,10)/$B70,0)</f>
        <v>1.8056726561929208</v>
      </c>
      <c r="K70" s="71">
        <f>IFERROR(VLOOKUP("Pb-214",$A$4:$L$32,11)/$B70,0)</f>
        <v>0.6485138946786756</v>
      </c>
      <c r="L70" s="71">
        <f>IFERROR(VLOOKUP("Pb-214",$A$4:$L$32,12)/$B70,0)</f>
        <v>0.50963106974947403</v>
      </c>
      <c r="M70" s="70">
        <f>IFERROR(VLOOKUP("Pb-214",$A$4:$R$32,13)/$B70,0)</f>
        <v>4.1245326066681811E-13</v>
      </c>
      <c r="N70" s="71">
        <f>IFERROR(VLOOKUP("Pb-214",$A$4:$R$32,14)/$B70,0)</f>
        <v>1.5263964051767979E-15</v>
      </c>
      <c r="O70" s="71">
        <f>IFERROR(VLOOKUP("Pb-214",$A$4:$R$32,15)/$B70,0)</f>
        <v>1.4910374084615316E-12</v>
      </c>
      <c r="P70" s="71">
        <f>IFERROR(VLOOKUP("Pb-214",$A$4:$R$32,16)/$B70,0)</f>
        <v>5.3551150235155126E-13</v>
      </c>
      <c r="Q70" s="71">
        <f>IFERROR(VLOOKUP("Pb-214",$A$4:$R$32,17)/$B70,0)</f>
        <v>4.2082876256921461E-13</v>
      </c>
      <c r="R70" s="95">
        <f>IF(D70&lt;&gt;".",D70*2.22*100,".")</f>
        <v>11090.958157177663</v>
      </c>
    </row>
    <row r="71" spans="1:18">
      <c r="A71" s="31" t="s">
        <v>195</v>
      </c>
      <c r="B71" s="32">
        <v>0.99999979999999999</v>
      </c>
      <c r="C71" s="70">
        <f>IFERROR(VLOOKUP("Bi-214",$A$4:$L$32,3)/$B71,0)</f>
        <v>1.1863810977598663</v>
      </c>
      <c r="D71" s="71">
        <f>IFERROR(VLOOKUP("Bi-214",$A$4:$L$32,4)/$B71,0)</f>
        <v>9.520183261361062</v>
      </c>
      <c r="E71" s="71">
        <f>IFERROR(VLOOKUP("Bi-214",$A$4:$L$32,5)/$B71,0)</f>
        <v>7.3265979149704616</v>
      </c>
      <c r="F71" s="71">
        <f>IFERROR(VLOOKUP("Bi-214",$A$4:$L$32,6)/$B71,0)</f>
        <v>2.439992324417676</v>
      </c>
      <c r="G71" s="71">
        <f>IFERROR(VLOOKUP("Bi-214",$A$4:$L$32,7)/$B71,0)</f>
        <v>1.7997606138196969</v>
      </c>
      <c r="H71" s="70">
        <f>IFERROR(VLOOKUP("Bi-214",$A$4:$L$32,8)/$B71,0)</f>
        <v>4.3896100617115096E-2</v>
      </c>
      <c r="I71" s="71">
        <f>IFERROR(VLOOKUP("Bi-214",$A$4:$L$32,9)/$B71,0)</f>
        <v>0.35224678067035964</v>
      </c>
      <c r="J71" s="71">
        <f>IFERROR(VLOOKUP("Bi-214",$A$4:$L$32,10)/$B71,0)</f>
        <v>0.27108412285390737</v>
      </c>
      <c r="K71" s="71">
        <f>IFERROR(VLOOKUP("Bi-214",$A$4:$L$32,11)/$B71,0)</f>
        <v>9.0279716003454108E-2</v>
      </c>
      <c r="L71" s="71">
        <f>IFERROR(VLOOKUP("Bi-214",$A$4:$L$32,12)/$B71,0)</f>
        <v>6.6591142711328863E-2</v>
      </c>
      <c r="M71" s="70">
        <f>IFERROR(VLOOKUP("Bi-214",$A$4:$R$32,13)/$B71,0)</f>
        <v>2.6914960274308402E-14</v>
      </c>
      <c r="N71" s="71">
        <f>IFERROR(VLOOKUP("Bi-214",$A$4:$R$32,14)/$B71,0)</f>
        <v>2.1598064464065913E-16</v>
      </c>
      <c r="O71" s="71">
        <f>IFERROR(VLOOKUP("Bi-214",$A$4:$R$32,15)/$B71,0)</f>
        <v>1.6621563863383024E-13</v>
      </c>
      <c r="P71" s="71">
        <f>IFERROR(VLOOKUP("Bi-214",$A$4:$R$32,16)/$B71,0)</f>
        <v>5.5355143979722949E-14</v>
      </c>
      <c r="Q71" s="71">
        <f>IFERROR(VLOOKUP("Bi-214",$A$4:$R$32,17)/$B71,0)</f>
        <v>4.083045955105635E-14</v>
      </c>
      <c r="R71" s="95">
        <f t="shared" ref="R71:R75" si="36">IF(D71&lt;&gt;".",D71*2.22*100,".")</f>
        <v>2113.4806840221563</v>
      </c>
    </row>
    <row r="72" spans="1:18">
      <c r="A72" s="31" t="s">
        <v>197</v>
      </c>
      <c r="B72" s="32">
        <v>0.99979000004200003</v>
      </c>
      <c r="C72" s="70">
        <f>IFERROR(VLOOKUP("Po-214",$A$4:$L$32,3)/$B72,0)</f>
        <v>268306758.53498775</v>
      </c>
      <c r="D72" s="71">
        <f>IFERROR(VLOOKUP("Po-214",$A$4:$L$32,4)/$B72,0)</f>
        <v>2255369153.4234805</v>
      </c>
      <c r="E72" s="71">
        <f>IFERROR(VLOOKUP("Po-214",$A$4:$L$32,5)/$B72,0)</f>
        <v>1598617282.0513182</v>
      </c>
      <c r="F72" s="71">
        <f>IFERROR(VLOOKUP("Po-214",$A$4:$L$32,6)/$B72,0)</f>
        <v>544982136.10955262</v>
      </c>
      <c r="G72" s="71">
        <f>IFERROR(VLOOKUP("Po-214",$A$4:$L$32,7)/$B72,0)</f>
        <v>397671253.70862782</v>
      </c>
      <c r="H72" s="70">
        <f>IFERROR(VLOOKUP("Po-214",$A$4:$L$32,8)/$B72,0)</f>
        <v>9927350.0657945573</v>
      </c>
      <c r="I72" s="71">
        <f>IFERROR(VLOOKUP("Po-214",$A$4:$L$32,9)/$B72,0)</f>
        <v>83448658.676668853</v>
      </c>
      <c r="J72" s="71">
        <f>IFERROR(VLOOKUP("Po-214",$A$4:$L$32,10)/$B72,0)</f>
        <v>59148839.435898833</v>
      </c>
      <c r="K72" s="71">
        <f>IFERROR(VLOOKUP("Po-214",$A$4:$L$32,11)/$B72,0)</f>
        <v>20164339.036053468</v>
      </c>
      <c r="L72" s="71">
        <f>IFERROR(VLOOKUP("Po-214",$A$4:$L$32,12)/$B72,0)</f>
        <v>14713836.387219245</v>
      </c>
      <c r="M72" s="70">
        <f>IFERROR(VLOOKUP("Po-214",$A$4:$R$32,13)/$B72,0)</f>
        <v>8.3759557382157364E-13</v>
      </c>
      <c r="N72" s="71">
        <f>IFERROR(VLOOKUP("Po-214",$A$4:$R$32,14)/$B72,0)</f>
        <v>7.0407738908853318E-15</v>
      </c>
      <c r="O72" s="71">
        <f>IFERROR(VLOOKUP("Po-214",$A$4:$R$32,15)/$B72,0)</f>
        <v>4.9905368280398743E-12</v>
      </c>
      <c r="P72" s="71">
        <f>IFERROR(VLOOKUP("Po-214",$A$4:$R$32,16)/$B72,0)</f>
        <v>1.7013161632962087E-12</v>
      </c>
      <c r="Q72" s="71">
        <f>IFERROR(VLOOKUP("Po-214",$A$4:$R$32,17)/$B72,0)</f>
        <v>1.2414435020614185E-12</v>
      </c>
      <c r="R72" s="95">
        <f t="shared" si="36"/>
        <v>500691952060.0127</v>
      </c>
    </row>
    <row r="73" spans="1:18">
      <c r="A73" s="31" t="s">
        <v>198</v>
      </c>
      <c r="B73" s="32">
        <v>2.0999995799999999E-4</v>
      </c>
      <c r="C73" s="70">
        <f>IFERROR(VLOOKUP("Tl-210",$A$4:$L$32,3)/$B73,0)</f>
        <v>1278.9576273112077</v>
      </c>
      <c r="D73" s="71">
        <f>IFERROR(VLOOKUP("Tl-210",$A$4:$L$32,4)/$B73,0)</f>
        <v>8441.7629669896542</v>
      </c>
      <c r="E73" s="71">
        <f>IFERROR(VLOOKUP("Tl-210",$A$4:$L$32,5)/$B73,0)</f>
        <v>7139.6163774695578</v>
      </c>
      <c r="F73" s="71">
        <f>IFERROR(VLOOKUP("Tl-210",$A$4:$L$32,6)/$B73,0)</f>
        <v>2443.4724612192003</v>
      </c>
      <c r="G73" s="71">
        <f>IFERROR(VLOOKUP("Tl-210",$A$4:$L$32,7)/$B73,0)</f>
        <v>1778.0020964648108</v>
      </c>
      <c r="H73" s="70">
        <f>IFERROR(VLOOKUP("Tl-210",$A$4:$L$32,8)/$B73,0)</f>
        <v>47.321432210514736</v>
      </c>
      <c r="I73" s="71">
        <f>IFERROR(VLOOKUP("Tl-210",$A$4:$L$32,9)/$B73,0)</f>
        <v>312.34522977861752</v>
      </c>
      <c r="J73" s="71">
        <f>IFERROR(VLOOKUP("Tl-210",$A$4:$L$32,10)/$B73,0)</f>
        <v>264.16580596637391</v>
      </c>
      <c r="K73" s="71">
        <f>IFERROR(VLOOKUP("Tl-210",$A$4:$L$32,11)/$B73,0)</f>
        <v>90.408481065110507</v>
      </c>
      <c r="L73" s="71">
        <f>IFERROR(VLOOKUP("Tl-210",$A$4:$L$32,12)/$B73,0)</f>
        <v>65.786077569198071</v>
      </c>
      <c r="M73" s="70">
        <f>IFERROR(VLOOKUP("Tl-210",$A$4:$R$32,13)/$B73,0)</f>
        <v>1.860036549308737E-12</v>
      </c>
      <c r="N73" s="71">
        <f>IFERROR(VLOOKUP("Tl-210",$A$4:$R$32,14)/$B73,0)</f>
        <v>1.2277175821854631E-14</v>
      </c>
      <c r="O73" s="71">
        <f>IFERROR(VLOOKUP("Tl-210",$A$4:$R$32,15)/$B73,0)</f>
        <v>1.0383414685954426E-11</v>
      </c>
      <c r="P73" s="71">
        <f>IFERROR(VLOOKUP("Tl-210",$A$4:$R$32,16)/$B73,0)</f>
        <v>3.5536346068415687E-12</v>
      </c>
      <c r="Q73" s="71">
        <f>IFERROR(VLOOKUP("Tl-210",$A$4:$R$32,17)/$B73,0)</f>
        <v>2.5858158343563179E-12</v>
      </c>
      <c r="R73" s="95">
        <f t="shared" si="36"/>
        <v>1874071.3786717034</v>
      </c>
    </row>
    <row r="74" spans="1:18">
      <c r="A74" s="31" t="s">
        <v>199</v>
      </c>
      <c r="B74" s="32">
        <v>1</v>
      </c>
      <c r="C74" s="70">
        <f>IFERROR(VLOOKUP("Pb-210",$A$4:$L$32,3)/$B74,0)</f>
        <v>51027.421298933739</v>
      </c>
      <c r="D74" s="71">
        <f>IFERROR(VLOOKUP("Pb-210",$A$4:$L$32,4)/$B74,0)</f>
        <v>9274.027886807824</v>
      </c>
      <c r="E74" s="71">
        <f>IFERROR(VLOOKUP("Pb-210",$A$4:$L$32,5)/$B74,0)</f>
        <v>36201.619477710665</v>
      </c>
      <c r="F74" s="71">
        <f>IFERROR(VLOOKUP("Pb-210",$A$4:$L$32,6)/$B74,0)</f>
        <v>23691.843860369183</v>
      </c>
      <c r="G74" s="71">
        <f>IFERROR(VLOOKUP("Pb-210",$A$4:$L$32,7)/$B74,0)</f>
        <v>24761.207919257478</v>
      </c>
      <c r="H74" s="70">
        <f>IFERROR(VLOOKUP("Pb-210",$A$4:$L$32,8)/$B74,0)</f>
        <v>1888.0145880605503</v>
      </c>
      <c r="I74" s="71">
        <f>IFERROR(VLOOKUP("Pb-210",$A$4:$L$32,9)/$B74,0)</f>
        <v>343.13903181188982</v>
      </c>
      <c r="J74" s="71">
        <f>IFERROR(VLOOKUP("Pb-210",$A$4:$L$32,10)/$B74,0)</f>
        <v>1339.459920675296</v>
      </c>
      <c r="K74" s="71">
        <f>IFERROR(VLOOKUP("Pb-210",$A$4:$L$32,11)/$B74,0)</f>
        <v>876.59822283366066</v>
      </c>
      <c r="L74" s="71">
        <f>IFERROR(VLOOKUP("Pb-210",$A$4:$L$32,12)/$B74,0)</f>
        <v>916.16469301252766</v>
      </c>
      <c r="M74" s="70">
        <f>IFERROR(VLOOKUP("Pb-210",$A$4:$R$32,13)/$B74,0)</f>
        <v>6.6609154666776135E-4</v>
      </c>
      <c r="N74" s="71">
        <f>IFERROR(VLOOKUP("Pb-210",$A$4:$R$32,14)/$B74,0)</f>
        <v>1.2105945042323461E-7</v>
      </c>
      <c r="O74" s="71">
        <f>IFERROR(VLOOKUP("Pb-210",$A$4:$R$32,15)/$B74,0)</f>
        <v>4.7256146001424385E-4</v>
      </c>
      <c r="P74" s="71">
        <f>IFERROR(VLOOKUP("Pb-210",$A$4:$R$32,16)/$B74,0)</f>
        <v>3.0926385301571513E-4</v>
      </c>
      <c r="Q74" s="71">
        <f>IFERROR(VLOOKUP("Pb-210",$A$4:$R$32,17)/$B74,0)</f>
        <v>3.2322290369481941E-4</v>
      </c>
      <c r="R74" s="95">
        <f t="shared" si="36"/>
        <v>2058834.190871337</v>
      </c>
    </row>
    <row r="75" spans="1:18">
      <c r="A75" s="31" t="s">
        <v>200</v>
      </c>
      <c r="B75" s="32">
        <v>1</v>
      </c>
      <c r="C75" s="70">
        <f>IFERROR(VLOOKUP("Bi-210",$A$4:$L$32,3)/$B75,0)</f>
        <v>2329544549.1619167</v>
      </c>
      <c r="D75" s="71">
        <f>IFERROR(VLOOKUP("Bi-210",$A$4:$L$32,4)/$B75,0)</f>
        <v>306143795.49569964</v>
      </c>
      <c r="E75" s="71">
        <f>IFERROR(VLOOKUP("Bi-210",$A$4:$L$32,5)/$B75,0)</f>
        <v>3440114649.0533895</v>
      </c>
      <c r="F75" s="71">
        <f>IFERROR(VLOOKUP("Bi-210",$A$4:$L$32,6)/$B75,0)</f>
        <v>2377188904.0100951</v>
      </c>
      <c r="G75" s="71">
        <f>IFERROR(VLOOKUP("Bi-210",$A$4:$L$32,7)/$B75,0)</f>
        <v>2375492376.9149351</v>
      </c>
      <c r="H75" s="70">
        <f>IFERROR(VLOOKUP("Bi-210",$A$4:$L$32,8)/$B75,0)</f>
        <v>86193148.318991005</v>
      </c>
      <c r="I75" s="71">
        <f>IFERROR(VLOOKUP("Bi-210",$A$4:$L$32,9)/$B75,0)</f>
        <v>11327320.433340898</v>
      </c>
      <c r="J75" s="71">
        <f>IFERROR(VLOOKUP("Bi-210",$A$4:$L$32,10)/$B75,0)</f>
        <v>127284242.01497555</v>
      </c>
      <c r="K75" s="71">
        <f>IFERROR(VLOOKUP("Bi-210",$A$4:$L$32,11)/$B75,0)</f>
        <v>87955989.448373616</v>
      </c>
      <c r="L75" s="71">
        <f>IFERROR(VLOOKUP("Bi-210",$A$4:$L$32,12)/$B75,0)</f>
        <v>87893217.945852682</v>
      </c>
      <c r="M75" s="70">
        <f>IFERROR(VLOOKUP("Bi-210",$A$4:$R$32,13)/$B75,0)</f>
        <v>1.8812789076903001E-2</v>
      </c>
      <c r="N75" s="71">
        <f>IFERROR(VLOOKUP("Bi-210",$A$4:$R$32,14)/$B75,0)</f>
        <v>2.472336772411221E-6</v>
      </c>
      <c r="O75" s="71">
        <f>IFERROR(VLOOKUP("Bi-210",$A$4:$R$32,15)/$B75,0)</f>
        <v>2.7781461108476672E-2</v>
      </c>
      <c r="P75" s="71">
        <f>IFERROR(VLOOKUP("Bi-210",$A$4:$R$32,16)/$B75,0)</f>
        <v>1.919755235553889E-2</v>
      </c>
      <c r="Q75" s="71">
        <f>IFERROR(VLOOKUP("Bi-210",$A$4:$R$32,17)/$B75,0)</f>
        <v>1.9183851648928243E-2</v>
      </c>
      <c r="R75" s="95">
        <f t="shared" si="36"/>
        <v>67963922600.045326</v>
      </c>
    </row>
    <row r="76" spans="1:18">
      <c r="A76" s="31" t="s">
        <v>202</v>
      </c>
      <c r="B76" s="32">
        <v>1</v>
      </c>
      <c r="C76" s="70">
        <f>IFERROR(VLOOKUP("Po-210",$A$4:$L$32,3)/$B76,0)</f>
        <v>19634159050.967266</v>
      </c>
      <c r="D76" s="71">
        <f>IFERROR(VLOOKUP("Po-210",$A$4:$L$32,4)/$B76,0)</f>
        <v>165604621688.10611</v>
      </c>
      <c r="E76" s="71">
        <f>IFERROR(VLOOKUP("Po-210",$A$4:$L$32,5)/$B76,0)</f>
        <v>117346325616.99806</v>
      </c>
      <c r="F76" s="71">
        <f>IFERROR(VLOOKUP("Po-210",$A$4:$L$32,6)/$B76,0)</f>
        <v>39958126190.326263</v>
      </c>
      <c r="G76" s="71">
        <f>IFERROR(VLOOKUP("Po-210",$A$4:$L$32,7)/$B76,0)</f>
        <v>29305140731.717205</v>
      </c>
      <c r="H76" s="70">
        <f>IFERROR(VLOOKUP("Po-210",$A$4:$L$32,8)/$B76,0)</f>
        <v>726463884.88578963</v>
      </c>
      <c r="I76" s="71">
        <f>IFERROR(VLOOKUP("Po-210",$A$4:$L$32,9)/$B76,0)</f>
        <v>6127371002.4599323</v>
      </c>
      <c r="J76" s="71">
        <f>IFERROR(VLOOKUP("Po-210",$A$4:$L$32,10)/$B76,0)</f>
        <v>4341814047.8289328</v>
      </c>
      <c r="K76" s="71">
        <f>IFERROR(VLOOKUP("Po-210",$A$4:$L$32,11)/$B76,0)</f>
        <v>1478450669.0420732</v>
      </c>
      <c r="L76" s="71">
        <f>IFERROR(VLOOKUP("Po-210",$A$4:$L$32,12)/$B76,0)</f>
        <v>1084290207.0735376</v>
      </c>
      <c r="M76" s="70">
        <f>IFERROR(VLOOKUP("Po-210",$A$4:$R$32,13)/$B76,0)</f>
        <v>4.3768084355833805</v>
      </c>
      <c r="N76" s="71">
        <f>IFERROR(VLOOKUP("Po-210",$A$4:$R$32,14)/$B76,0)</f>
        <v>3.6916259224272177E-2</v>
      </c>
      <c r="O76" s="71">
        <f>IFERROR(VLOOKUP("Po-210",$A$4:$R$32,15)/$B76,0)</f>
        <v>26.158614000831825</v>
      </c>
      <c r="P76" s="71">
        <f>IFERROR(VLOOKUP("Po-210",$A$4:$R$32,16)/$B76,0)</f>
        <v>8.907387544632801</v>
      </c>
      <c r="Q76" s="71">
        <f>IFERROR(VLOOKUP("Po-210",$A$4:$R$32,17)/$B76,0)</f>
        <v>6.5326448068179017</v>
      </c>
      <c r="R76" s="95">
        <f>IF(D76&lt;&gt;".",D76*2.22*100,".")</f>
        <v>36764226014759.555</v>
      </c>
    </row>
    <row r="77" spans="1:18">
      <c r="A77" s="31" t="s">
        <v>201</v>
      </c>
      <c r="B77" s="34">
        <v>1.9000000000000001E-8</v>
      </c>
      <c r="C77" s="70">
        <f>IFERROR(VLOOKUP("Hg-206",$A$4:$L$32,3)/$B77,0)</f>
        <v>3171730678.4215393</v>
      </c>
      <c r="D77" s="71">
        <f>IFERROR(VLOOKUP("Hg-206",$A$4:$L$32,4)/$B77,0)</f>
        <v>10352675184.458937</v>
      </c>
      <c r="E77" s="71">
        <f>IFERROR(VLOOKUP("Hg-206",$A$4:$L$32,5)/$B77,0)</f>
        <v>11438721790.241459</v>
      </c>
      <c r="F77" s="71">
        <f>IFERROR(VLOOKUP("Hg-206",$A$4:$L$32,6)/$B77,0)</f>
        <v>4143647963.0084009</v>
      </c>
      <c r="G77" s="71">
        <f>IFERROR(VLOOKUP("Hg-206",$A$4:$L$32,7)/$B77,0)</f>
        <v>3309393059.1765943</v>
      </c>
      <c r="H77" s="70">
        <f>IFERROR(VLOOKUP("Hg-206",$A$4:$L$32,8)/$B77,0)</f>
        <v>117354035.10159707</v>
      </c>
      <c r="I77" s="71">
        <f>IFERROR(VLOOKUP("Hg-206",$A$4:$L$32,9)/$B77,0)</f>
        <v>383048981.82498097</v>
      </c>
      <c r="J77" s="71">
        <f>IFERROR(VLOOKUP("Hg-206",$A$4:$L$32,10)/$B77,0)</f>
        <v>423232706.23893446</v>
      </c>
      <c r="K77" s="71">
        <f>IFERROR(VLOOKUP("Hg-206",$A$4:$L$32,11)/$B77,0)</f>
        <v>153314974.631311</v>
      </c>
      <c r="L77" s="71">
        <f>IFERROR(VLOOKUP("Hg-206",$A$4:$L$32,12)/$B77,0)</f>
        <v>122447543.1895341</v>
      </c>
      <c r="M77" s="70">
        <f>IFERROR(VLOOKUP("Hg-206",$A$4:$R$32,13)/$B77,0)</f>
        <v>2.8367679187225068E-5</v>
      </c>
      <c r="N77" s="71">
        <f>IFERROR(VLOOKUP("Hg-206",$A$4:$R$32,14)/$B77,0)</f>
        <v>9.2593412915005845E-8</v>
      </c>
      <c r="O77" s="71">
        <f>IFERROR(VLOOKUP("Hg-206",$A$4:$R$32,15)/$B77,0)</f>
        <v>1.0230691788086431E-4</v>
      </c>
      <c r="P77" s="71">
        <f>IFERROR(VLOOKUP("Hg-206",$A$4:$R$32,16)/$B77,0)</f>
        <v>3.706042157965297E-5</v>
      </c>
      <c r="Q77" s="71">
        <f>IFERROR(VLOOKUP("Hg-206",$A$4:$R$32,17)/$B77,0)</f>
        <v>2.9598919367854931E-5</v>
      </c>
      <c r="R77" s="95">
        <f t="shared" ref="R77:R78" si="37">IF(D77&lt;&gt;".",D77*2.22*100,".")</f>
        <v>2298293890949.8838</v>
      </c>
    </row>
    <row r="78" spans="1:18">
      <c r="A78" s="31" t="s">
        <v>203</v>
      </c>
      <c r="B78" s="32">
        <v>1.339E-6</v>
      </c>
      <c r="C78" s="70">
        <f>IFERROR(VLOOKUP("Tl-206",$A$4:$L$32,3)/$B78,0)</f>
        <v>1382721606267.4902</v>
      </c>
      <c r="D78" s="71">
        <f>IFERROR(VLOOKUP("Tl-206",$A$4:$L$32,4)/$B78,0)</f>
        <v>109619691615.33549</v>
      </c>
      <c r="E78" s="71">
        <f>IFERROR(VLOOKUP("Tl-206",$A$4:$L$32,5)/$B78,0)</f>
        <v>1278369105484.6147</v>
      </c>
      <c r="F78" s="71">
        <f>IFERROR(VLOOKUP("Tl-206",$A$4:$L$32,6)/$B78,0)</f>
        <v>1157236059431.5098</v>
      </c>
      <c r="G78" s="71">
        <f>IFERROR(VLOOKUP("Tl-206",$A$4:$L$32,7)/$B78,0)</f>
        <v>937320469019.32214</v>
      </c>
      <c r="H78" s="70">
        <f>IFERROR(VLOOKUP("Tl-206",$A$4:$L$32,8)/$B78,0)</f>
        <v>51160699431.897194</v>
      </c>
      <c r="I78" s="71">
        <f>IFERROR(VLOOKUP("Tl-206",$A$4:$L$32,9)/$B78,0)</f>
        <v>4055928589.7674174</v>
      </c>
      <c r="J78" s="71">
        <f>IFERROR(VLOOKUP("Tl-206",$A$4:$L$32,10)/$B78,0)</f>
        <v>47299656902.930786</v>
      </c>
      <c r="K78" s="71">
        <f>IFERROR(VLOOKUP("Tl-206",$A$4:$L$32,11)/$B78,0)</f>
        <v>42817734198.965912</v>
      </c>
      <c r="L78" s="71">
        <f>IFERROR(VLOOKUP("Tl-206",$A$4:$L$32,12)/$B78,0)</f>
        <v>34680857353.714958</v>
      </c>
      <c r="M78" s="70">
        <f>IFERROR(VLOOKUP("Tl-206",$A$4:$R$32,13)/$B78,0)</f>
        <v>6.373146983408259E-3</v>
      </c>
      <c r="N78" s="71">
        <f>IFERROR(VLOOKUP("Tl-206",$A$4:$R$32,14)/$B78,0)</f>
        <v>5.0525167450465745E-7</v>
      </c>
      <c r="O78" s="71">
        <f>IFERROR(VLOOKUP("Tl-206",$A$4:$R$32,15)/$B78,0)</f>
        <v>5.8921724889323011E-3</v>
      </c>
      <c r="P78" s="71">
        <f>IFERROR(VLOOKUP("Tl-206",$A$4:$R$32,16)/$B78,0)</f>
        <v>5.3338542392245185E-3</v>
      </c>
      <c r="Q78" s="71">
        <f>IFERROR(VLOOKUP("Tl-206",$A$4:$R$32,17)/$B78,0)</f>
        <v>4.3202341617721756E-3</v>
      </c>
      <c r="R78" s="95">
        <f t="shared" si="37"/>
        <v>24335571538604.484</v>
      </c>
    </row>
  </sheetData>
  <sheetProtection algorithmName="SHA-512" hashValue="+ZFpppS5o9Cl6c2fJoJSj69zmn7buFXOg2yFOrr/uqF5pRiGWPVgR9pPS63fANBgBZ3Pg5eD1BbMhdXj72y8Vw==" saltValue="yISs7pYt6OaIGGc6BG0Ybw==" spinCount="100000" sheet="1" formatCells="0" formatColumns="0" formatRows="0" insertColumns="0" insertRows="0" autoFilter="0"/>
  <autoFilter ref="A2:Q78" xr:uid="{00000000-0009-0000-0000-000010000000}"/>
  <mergeCells count="3">
    <mergeCell ref="C1:G1"/>
    <mergeCell ref="H1:L1"/>
    <mergeCell ref="M1:Q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85546875" style="93" bestFit="1" customWidth="1"/>
    <col min="4" max="4" width="14" style="93" bestFit="1" customWidth="1"/>
    <col min="5" max="5" width="13.85546875" style="22" bestFit="1" customWidth="1"/>
    <col min="6" max="6" width="14" style="22" bestFit="1" customWidth="1"/>
    <col min="7" max="7" width="13.5703125" style="22" bestFit="1" customWidth="1"/>
    <col min="8" max="8" width="13.85546875" style="22" bestFit="1" customWidth="1"/>
    <col min="9" max="9" width="14" style="22" bestFit="1" customWidth="1"/>
    <col min="10" max="10" width="13.5703125" style="22" bestFit="1" customWidth="1"/>
  </cols>
  <sheetData>
    <row r="1" spans="1:10" ht="13.5" thickBot="1">
      <c r="C1" s="153" t="s">
        <v>274</v>
      </c>
      <c r="D1" s="154"/>
      <c r="E1" s="151" t="s">
        <v>61</v>
      </c>
      <c r="F1" s="152"/>
      <c r="G1" s="152"/>
      <c r="H1" s="151" t="s">
        <v>138</v>
      </c>
      <c r="I1" s="152"/>
      <c r="J1" s="152"/>
    </row>
    <row r="2" spans="1:10">
      <c r="A2" s="11" t="s">
        <v>0</v>
      </c>
      <c r="B2" s="11" t="s">
        <v>43</v>
      </c>
      <c r="C2" s="96" t="s">
        <v>135</v>
      </c>
      <c r="D2" s="97" t="s">
        <v>136</v>
      </c>
      <c r="E2" s="102" t="s">
        <v>135</v>
      </c>
      <c r="F2" s="103" t="s">
        <v>136</v>
      </c>
      <c r="G2" s="104" t="s">
        <v>137</v>
      </c>
      <c r="H2" s="102" t="s">
        <v>135</v>
      </c>
      <c r="I2" s="103" t="s">
        <v>136</v>
      </c>
      <c r="J2" s="103" t="s">
        <v>137</v>
      </c>
    </row>
    <row r="3" spans="1:10" ht="13.5" thickBot="1">
      <c r="B3" s="26" t="s">
        <v>44</v>
      </c>
      <c r="C3" s="98" t="s">
        <v>265</v>
      </c>
      <c r="D3" s="99" t="s">
        <v>265</v>
      </c>
      <c r="E3" s="105" t="s">
        <v>266</v>
      </c>
      <c r="F3" s="106" t="s">
        <v>266</v>
      </c>
      <c r="G3" s="107" t="s">
        <v>266</v>
      </c>
      <c r="H3" s="105" t="s">
        <v>266</v>
      </c>
      <c r="I3" s="106" t="s">
        <v>266</v>
      </c>
      <c r="J3" s="107" t="s">
        <v>266</v>
      </c>
    </row>
    <row r="4" spans="1:10">
      <c r="A4" s="87" t="s">
        <v>23</v>
      </c>
      <c r="B4" s="12" t="s">
        <v>59</v>
      </c>
      <c r="C4" s="100">
        <f t="shared" ref="C4:C5" si="0">IFERROR(s_C*k_decay*s_IFDres_adj*s_Fin*s_Fi,".")</f>
        <v>520732.0800365617</v>
      </c>
      <c r="D4" s="101">
        <f>IFERROR(s_C*k_decay*s_Fin*s_Fi*s_Fam*s_Foff*s_ETres*(1/24)*s_EFres*(1/365)*Isospec!R3,".")</f>
        <v>1.0968631609380699</v>
      </c>
      <c r="E4" s="100">
        <f>C4*Doses!E2</f>
        <v>100.76686480787507</v>
      </c>
      <c r="F4" s="131">
        <f>D4*Doses!L2</f>
        <v>1.6925476063803169E-2</v>
      </c>
      <c r="G4" s="108">
        <f>SUM((C4*Doses!E2),(D4*Doses!L2))</f>
        <v>100.78379028393887</v>
      </c>
      <c r="H4" s="100">
        <f t="shared" ref="H4:H5" si="1">E4/_1_bq</f>
        <v>3.728373997891381</v>
      </c>
      <c r="I4" s="131">
        <f t="shared" ref="I4:I5" si="2">F4/_1_bq</f>
        <v>6.2624261436071795E-4</v>
      </c>
      <c r="J4" s="108">
        <f t="shared" ref="J4:J5" si="3">G4/_1_bq</f>
        <v>3.7290002405057421</v>
      </c>
    </row>
    <row r="5" spans="1:10">
      <c r="A5" s="88" t="s">
        <v>14</v>
      </c>
      <c r="B5" s="12" t="s">
        <v>44</v>
      </c>
      <c r="C5" s="100">
        <f t="shared" si="0"/>
        <v>520732.0800365617</v>
      </c>
      <c r="D5" s="101">
        <f>IFERROR(s_C*k_decay*s_Fin*s_Fi*s_Fam*s_Foff*s_ETres*(1/24)*s_EFres*(1/365)*Isospec!R4,".")</f>
        <v>1.0000229899723663</v>
      </c>
      <c r="E5" s="100">
        <f>C5*Doses!E3</f>
        <v>458.55666968019625</v>
      </c>
      <c r="F5" s="131">
        <f>D5*Doses!L3</f>
        <v>2.5484785881053774E-2</v>
      </c>
      <c r="G5" s="108">
        <f>SUM((C5*Doses!E3),(D5*Doses!L3))</f>
        <v>458.58215446607733</v>
      </c>
      <c r="H5" s="100">
        <f t="shared" si="1"/>
        <v>16.966596778167279</v>
      </c>
      <c r="I5" s="131">
        <f t="shared" si="2"/>
        <v>9.4293707759899063E-4</v>
      </c>
      <c r="J5" s="108">
        <f t="shared" si="3"/>
        <v>16.967539715244879</v>
      </c>
    </row>
    <row r="6" spans="1:10">
      <c r="A6" s="87" t="s">
        <v>15</v>
      </c>
      <c r="B6" s="12" t="s">
        <v>59</v>
      </c>
      <c r="C6" s="100">
        <f t="shared" ref="C6:C8" si="4">IFERROR(s_C*k_decay*s_IFDres_adj*s_Fin*s_Fi,".")</f>
        <v>520732.0800365617</v>
      </c>
      <c r="D6" s="101">
        <f>IFERROR(s_C*k_decay*s_Fin*s_Fi*s_Fam*s_Foff*s_ETres*(1/24)*s_EFres*(1/365)*Isospec!R5,".")</f>
        <v>0.54546708543947264</v>
      </c>
      <c r="E6" s="100">
        <f>C6*Doses!E4</f>
        <v>0</v>
      </c>
      <c r="F6" s="131">
        <f>D6*Doses!L4</f>
        <v>1.447467821934748E-4</v>
      </c>
      <c r="G6" s="108">
        <f>SUM((C6*Doses!E4),(D6*Doses!L4))</f>
        <v>1.447467821934748E-4</v>
      </c>
      <c r="H6" s="100">
        <f t="shared" ref="H6:H8" si="5">E6/_1_bq</f>
        <v>0</v>
      </c>
      <c r="I6" s="131">
        <f t="shared" ref="I6:I8" si="6">F6/_1_bq</f>
        <v>5.3556309411585734E-6</v>
      </c>
      <c r="J6" s="108">
        <f t="shared" ref="J6:J8" si="7">G6/_1_bq</f>
        <v>5.3556309411585734E-6</v>
      </c>
    </row>
    <row r="7" spans="1:10">
      <c r="A7" s="87" t="s">
        <v>16</v>
      </c>
      <c r="B7" s="89" t="s">
        <v>59</v>
      </c>
      <c r="C7" s="100">
        <f t="shared" si="4"/>
        <v>520732.0800365617</v>
      </c>
      <c r="D7" s="101">
        <f>IFERROR(s_C*k_decay*s_Fin*s_Fi*s_Fam*s_Foff*s_ETres*(1/24)*s_EFres*(1/365)*Isospec!R6,".")</f>
        <v>1.7786970177374104</v>
      </c>
      <c r="E7" s="100">
        <f>C7*Doses!E5</f>
        <v>0</v>
      </c>
      <c r="F7" s="131">
        <f>D7*Doses!L5</f>
        <v>2.5991210171687906E-4</v>
      </c>
      <c r="G7" s="108">
        <f>SUM((C7*Doses!E5),(D7*Doses!L5))</f>
        <v>2.5991210171687906E-4</v>
      </c>
      <c r="H7" s="100">
        <f t="shared" si="5"/>
        <v>0</v>
      </c>
      <c r="I7" s="131">
        <f t="shared" si="6"/>
        <v>9.6167477635245356E-6</v>
      </c>
      <c r="J7" s="108">
        <f t="shared" si="7"/>
        <v>9.6167477635245356E-6</v>
      </c>
    </row>
    <row r="8" spans="1:10">
      <c r="A8" s="87" t="s">
        <v>18</v>
      </c>
      <c r="B8" s="12" t="s">
        <v>59</v>
      </c>
      <c r="C8" s="100">
        <f t="shared" si="4"/>
        <v>520732.0800365617</v>
      </c>
      <c r="D8" s="101">
        <f>IFERROR(s_C*k_decay*s_Fin*s_Fi*s_Fam*s_Foff*s_ETres*(1/24)*s_EFres*(1/365)*Isospec!R7,".")</f>
        <v>0.44072159439493613</v>
      </c>
      <c r="E8" s="100">
        <f>C8*Doses!E6</f>
        <v>0</v>
      </c>
      <c r="F8" s="131">
        <f>D8*Doses!L6</f>
        <v>0.29727244480011156</v>
      </c>
      <c r="G8" s="108">
        <f>SUM((C8*Doses!E6),(D8*Doses!L6))</f>
        <v>0.29727244480011156</v>
      </c>
      <c r="H8" s="100">
        <f t="shared" si="5"/>
        <v>0</v>
      </c>
      <c r="I8" s="131">
        <f t="shared" si="6"/>
        <v>1.0999080457604138E-2</v>
      </c>
      <c r="J8" s="108">
        <f t="shared" si="7"/>
        <v>1.0999080457604138E-2</v>
      </c>
    </row>
    <row r="9" spans="1:10">
      <c r="A9" s="87" t="s">
        <v>19</v>
      </c>
      <c r="B9" s="90" t="s">
        <v>59</v>
      </c>
      <c r="C9" s="100">
        <f t="shared" ref="C9:C11" si="8">IFERROR(s_C*k_decay*s_IFDres_adj*s_Fin*s_Fi,".")</f>
        <v>520732.0800365617</v>
      </c>
      <c r="D9" s="101">
        <f>IFERROR(s_C*k_decay*s_Fin*s_Fi*s_Fam*s_Foff*s_ETres*(1/24)*s_EFres*(1/365)*Isospec!R8,".")</f>
        <v>0.50989314508472439</v>
      </c>
      <c r="E9" s="100">
        <f>C9*Doses!E7</f>
        <v>3.4680756530435009</v>
      </c>
      <c r="F9" s="131">
        <f>D9*Doses!L7</f>
        <v>2.0921884539801903E-2</v>
      </c>
      <c r="G9" s="108">
        <f>SUM((C9*Doses!E7),(D9*Doses!L7))</f>
        <v>3.4889975375833027</v>
      </c>
      <c r="H9" s="100">
        <f t="shared" ref="H9:H11" si="9">E9/_1_bq</f>
        <v>0.12831879916260966</v>
      </c>
      <c r="I9" s="131">
        <f t="shared" ref="I9:I11" si="10">F9/_1_bq</f>
        <v>7.7410972797267122E-4</v>
      </c>
      <c r="J9" s="108">
        <f t="shared" ref="J9:J11" si="11">G9/_1_bq</f>
        <v>0.12909290889058234</v>
      </c>
    </row>
    <row r="10" spans="1:10">
      <c r="A10" s="87" t="s">
        <v>20</v>
      </c>
      <c r="B10" s="12" t="s">
        <v>59</v>
      </c>
      <c r="C10" s="100">
        <f t="shared" si="8"/>
        <v>520732.0800365617</v>
      </c>
      <c r="D10" s="101">
        <f>IFERROR(s_C*k_decay*s_Fin*s_Fi*s_Fam*s_Foff*s_ETres*(1/24)*s_EFres*(1/365)*Isospec!R9,".")</f>
        <v>0.46443755463143493</v>
      </c>
      <c r="E10" s="100">
        <f>C10*Doses!E8</f>
        <v>0.51635793056425461</v>
      </c>
      <c r="F10" s="131">
        <f>D10*Doses!L8</f>
        <v>8.9040110223720173E-2</v>
      </c>
      <c r="G10" s="108">
        <f>SUM((C10*Doses!E8),(D10*Doses!L8))</f>
        <v>0.60539804078797477</v>
      </c>
      <c r="H10" s="100">
        <f t="shared" si="9"/>
        <v>1.9105243430877439E-2</v>
      </c>
      <c r="I10" s="131">
        <f t="shared" si="10"/>
        <v>3.2944840782776499E-3</v>
      </c>
      <c r="J10" s="108">
        <f t="shared" si="11"/>
        <v>2.2399727509155087E-2</v>
      </c>
    </row>
    <row r="11" spans="1:10">
      <c r="A11" s="87" t="s">
        <v>21</v>
      </c>
      <c r="B11" s="90" t="s">
        <v>59</v>
      </c>
      <c r="C11" s="100">
        <f t="shared" si="8"/>
        <v>520732.0800365617</v>
      </c>
      <c r="D11" s="101">
        <f>IFERROR(s_C*k_decay*s_Fin*s_Fi*s_Fam*s_Foff*s_ETres*(1/24)*s_EFres*(1/365)*Isospec!R10,".")</f>
        <v>0.41898196417814554</v>
      </c>
      <c r="E11" s="100">
        <f>C11*Doses!E9</f>
        <v>0.28707959572415648</v>
      </c>
      <c r="F11" s="131">
        <f>D11*Doses!L9</f>
        <v>0.69550168089643805</v>
      </c>
      <c r="G11" s="108">
        <f>SUM((C11*Doses!E9),(D11*Doses!L9))</f>
        <v>0.98258127662059458</v>
      </c>
      <c r="H11" s="100">
        <f t="shared" si="9"/>
        <v>1.06219450417938E-2</v>
      </c>
      <c r="I11" s="131">
        <f t="shared" si="10"/>
        <v>2.5733562193168233E-2</v>
      </c>
      <c r="J11" s="108">
        <f t="shared" si="11"/>
        <v>3.6355507234962038E-2</v>
      </c>
    </row>
    <row r="12" spans="1:10">
      <c r="A12" s="88" t="s">
        <v>17</v>
      </c>
      <c r="B12" s="12" t="s">
        <v>44</v>
      </c>
      <c r="C12" s="100">
        <f t="shared" ref="C12" si="12">IFERROR(s_C*k_decay*s_IFDres_adj*s_Fin*s_Fi,".")</f>
        <v>520732.0800365617</v>
      </c>
      <c r="D12" s="101">
        <f>IFERROR(s_C*k_decay*s_Fin*s_Fi*s_Fam*s_Foff*s_ETres*(1/24)*s_EFres*(1/365)*Isospec!R11,".")</f>
        <v>0.46641388465114314</v>
      </c>
      <c r="E12" s="100">
        <f>C12*Doses!E10</f>
        <v>25.625225658599202</v>
      </c>
      <c r="F12" s="131">
        <f>D12*Doses!L10</f>
        <v>1.7065944115219932E-3</v>
      </c>
      <c r="G12" s="108">
        <f>SUM((C12*Doses!E10),(D12*Doses!L10))</f>
        <v>25.626932253010725</v>
      </c>
      <c r="H12" s="100">
        <f t="shared" ref="H12" si="13">E12/_1_bq</f>
        <v>0.9481333493681714</v>
      </c>
      <c r="I12" s="131">
        <f t="shared" ref="I12" si="14">F12/_1_bq</f>
        <v>6.3143993226313818E-5</v>
      </c>
      <c r="J12" s="108">
        <f t="shared" ref="J12" si="15">G12/_1_bq</f>
        <v>0.94819649336139777</v>
      </c>
    </row>
    <row r="13" spans="1:10">
      <c r="A13" s="87" t="s">
        <v>24</v>
      </c>
      <c r="B13" s="12" t="s">
        <v>59</v>
      </c>
      <c r="C13" s="100">
        <f t="shared" ref="C13" si="16">IFERROR(s_C*k_decay*s_IFDres_adj*s_Fin*s_Fi,".")</f>
        <v>520732.0800365617</v>
      </c>
      <c r="D13" s="101">
        <f>IFERROR(s_C*k_decay*s_Fin*s_Fi*s_Fam*s_Foff*s_ETres*(1/24)*s_EFres*(1/365)*Isospec!R12,".")</f>
        <v>0.57708836575480427</v>
      </c>
      <c r="E13" s="100">
        <f>C13*Doses!E11</f>
        <v>0</v>
      </c>
      <c r="F13" s="131">
        <f>D13*Doses!L11</f>
        <v>1.814717845836215E-2</v>
      </c>
      <c r="G13" s="108">
        <f>SUM((C13*Doses!E11),(D13*Doses!L11))</f>
        <v>1.814717845836215E-2</v>
      </c>
      <c r="H13" s="100">
        <f t="shared" ref="H13" si="17">E13/_1_bq</f>
        <v>0</v>
      </c>
      <c r="I13" s="131">
        <f t="shared" ref="I13" si="18">F13/_1_bq</f>
        <v>6.7144560295940019E-4</v>
      </c>
      <c r="J13" s="108">
        <f t="shared" ref="J13" si="19">G13/_1_bq</f>
        <v>6.7144560295940019E-4</v>
      </c>
    </row>
    <row r="14" spans="1:10">
      <c r="A14" s="87" t="s">
        <v>22</v>
      </c>
      <c r="B14" s="89" t="s">
        <v>59</v>
      </c>
      <c r="C14" s="100">
        <f t="shared" ref="C14" si="20">IFERROR(s_C*k_decay*s_IFDres_adj*s_Fin*s_Fi,".")</f>
        <v>520732.0800365617</v>
      </c>
      <c r="D14" s="101">
        <f>IFERROR(s_C*k_decay*s_Fin*s_Fi*s_Fam*s_Foff*s_ETres*(1/24)*s_EFres*(1/365)*Isospec!R13,".")</f>
        <v>0.50594048504530786</v>
      </c>
      <c r="E14" s="100">
        <f>C14*Doses!E12</f>
        <v>0</v>
      </c>
      <c r="F14" s="131">
        <f>D14*Doses!L12</f>
        <v>8.8125219625676765E-2</v>
      </c>
      <c r="G14" s="108">
        <f>SUM((C14*Doses!E12),(D14*Doses!L12))</f>
        <v>8.8125219625676765E-2</v>
      </c>
      <c r="H14" s="100">
        <f t="shared" ref="H14" si="21">E14/_1_bq</f>
        <v>0</v>
      </c>
      <c r="I14" s="131">
        <f t="shared" ref="I14" si="22">F14/_1_bq</f>
        <v>3.2606331261500437E-3</v>
      </c>
      <c r="J14" s="108">
        <f t="shared" ref="J14" si="23">G14/_1_bq</f>
        <v>3.2606331261500437E-3</v>
      </c>
    </row>
    <row r="15" spans="1:10">
      <c r="A15" s="87" t="s">
        <v>28</v>
      </c>
      <c r="B15" s="12" t="s">
        <v>59</v>
      </c>
      <c r="C15" s="100">
        <f t="shared" ref="C15:C16" si="24">IFERROR(s_C*k_decay*s_IFDres_adj*s_Fin*s_Fi,".")</f>
        <v>520732.0800365617</v>
      </c>
      <c r="D15" s="101">
        <f>IFERROR(s_C*k_decay*s_Fin*s_Fi*s_Fam*s_Foff*s_ETres*(1/24)*s_EFres*(1/365)*Isospec!R14,".")</f>
        <v>1.0691945406621546</v>
      </c>
      <c r="E15" s="100">
        <f>C15*Doses!E13</f>
        <v>240.8385870169098</v>
      </c>
      <c r="F15" s="131">
        <f>D15*Doses!L13</f>
        <v>3.0497277400031032E-2</v>
      </c>
      <c r="G15" s="108">
        <f>SUM((C15*Doses!E13),(D15*Doses!L13))</f>
        <v>240.86908429430983</v>
      </c>
      <c r="H15" s="100">
        <f t="shared" ref="H15:H16" si="25">E15/_1_bq</f>
        <v>8.9110277196256718</v>
      </c>
      <c r="I15" s="131">
        <f t="shared" ref="I15:I16" si="26">F15/_1_bq</f>
        <v>1.1283992638011493E-3</v>
      </c>
      <c r="J15" s="108">
        <f t="shared" ref="J15:J16" si="27">G15/_1_bq</f>
        <v>8.912156118889472</v>
      </c>
    </row>
    <row r="16" spans="1:10">
      <c r="A16" s="87" t="s">
        <v>29</v>
      </c>
      <c r="B16" s="12" t="s">
        <v>59</v>
      </c>
      <c r="C16" s="100">
        <f t="shared" si="24"/>
        <v>520732.0800365617</v>
      </c>
      <c r="D16" s="101">
        <f>IFERROR(s_C*k_decay*s_Fin*s_Fi*s_Fam*s_Foff*s_ETres*(1/24)*s_EFres*(1/365)*Isospec!R15,".")</f>
        <v>0.71543146713438066</v>
      </c>
      <c r="E16" s="100">
        <f>C16*Doses!E14</f>
        <v>2.5432554788985673</v>
      </c>
      <c r="F16" s="131">
        <f>D16*Doses!L14</f>
        <v>0.16894055578617836</v>
      </c>
      <c r="G16" s="108">
        <f>SUM((C16*Doses!E14),(D16*Doses!L14))</f>
        <v>2.7121960346847458</v>
      </c>
      <c r="H16" s="100">
        <f t="shared" si="25"/>
        <v>9.410045271924708E-2</v>
      </c>
      <c r="I16" s="131">
        <f t="shared" si="26"/>
        <v>6.2508005640886056E-3</v>
      </c>
      <c r="J16" s="108">
        <f t="shared" si="27"/>
        <v>0.10035125328333569</v>
      </c>
    </row>
    <row r="17" spans="1:10">
      <c r="A17" s="87" t="s">
        <v>32</v>
      </c>
      <c r="B17" s="12" t="s">
        <v>59</v>
      </c>
      <c r="C17" s="100">
        <f t="shared" ref="C17:C23" si="28">IFERROR(s_C*k_decay*s_IFDres_adj*s_Fin*s_Fi,".")</f>
        <v>520732.0800365617</v>
      </c>
      <c r="D17" s="101">
        <f>IFERROR(s_C*k_decay*s_Fin*s_Fi*s_Fam*s_Foff*s_ETres*(1/24)*s_EFres*(1/365)*Isospec!R16,".")</f>
        <v>1.7786970177374104</v>
      </c>
      <c r="E17" s="100">
        <f>C17*Doses!E15</f>
        <v>0.14392513960130529</v>
      </c>
      <c r="F17" s="131">
        <f>D17*Doses!L15</f>
        <v>6.632956835814754E-3</v>
      </c>
      <c r="G17" s="108">
        <f>SUM((C17*Doses!E15),(D17*Doses!L15))</f>
        <v>0.15055809643712004</v>
      </c>
      <c r="H17" s="100">
        <f t="shared" ref="H17:H23" si="29">E17/_1_bq</f>
        <v>5.3252301652483014E-3</v>
      </c>
      <c r="I17" s="131">
        <f t="shared" ref="I17:I23" si="30">F17/_1_bq</f>
        <v>2.4541940292514613E-4</v>
      </c>
      <c r="J17" s="108">
        <f t="shared" ref="J17:J23" si="31">G17/_1_bq</f>
        <v>5.5706495681734471E-3</v>
      </c>
    </row>
    <row r="18" spans="1:10">
      <c r="A18" s="87" t="s">
        <v>33</v>
      </c>
      <c r="B18" s="90" t="s">
        <v>59</v>
      </c>
      <c r="C18" s="100">
        <f t="shared" si="28"/>
        <v>520732.0800365617</v>
      </c>
      <c r="D18" s="101">
        <f>IFERROR(s_C*k_decay*s_Fin*s_Fi*s_Fam*s_Foff*s_ETres*(1/24)*s_EFres*(1/365)*Isospec!R17,".")</f>
        <v>1.3656440436183894</v>
      </c>
      <c r="E18" s="100">
        <f>C18*Doses!E16</f>
        <v>1965.242870057984</v>
      </c>
      <c r="F18" s="131">
        <f>D18*Doses!L16</f>
        <v>3.4642702147680772E-3</v>
      </c>
      <c r="G18" s="108">
        <f>SUM((C18*Doses!E16),(D18*Doses!L16))</f>
        <v>1965.2463343281988</v>
      </c>
      <c r="H18" s="100">
        <f t="shared" si="29"/>
        <v>72.713986192145484</v>
      </c>
      <c r="I18" s="131">
        <f t="shared" si="30"/>
        <v>1.2817799794641899E-4</v>
      </c>
      <c r="J18" s="108">
        <f t="shared" si="31"/>
        <v>72.714114370143434</v>
      </c>
    </row>
    <row r="19" spans="1:10">
      <c r="A19" s="87" t="s">
        <v>34</v>
      </c>
      <c r="B19" s="90" t="s">
        <v>59</v>
      </c>
      <c r="C19" s="100">
        <f t="shared" si="28"/>
        <v>520732.0800365617</v>
      </c>
      <c r="D19" s="101">
        <f>IFERROR(s_C*k_decay*s_Fin*s_Fi*s_Fam*s_Foff*s_ETres*(1/24)*s_EFres*(1/365)*Isospec!R18,".")</f>
        <v>0.5375617653606396</v>
      </c>
      <c r="E19" s="100">
        <f>C19*Doses!E17</f>
        <v>0.38341503053092041</v>
      </c>
      <c r="F19" s="131">
        <f>D19*Doses!L17</f>
        <v>0.15270355800070082</v>
      </c>
      <c r="G19" s="108">
        <f>SUM((C19*Doses!E17),(D19*Doses!L17))</f>
        <v>0.5361185885316212</v>
      </c>
      <c r="H19" s="100">
        <f t="shared" si="29"/>
        <v>1.4186356129644069E-2</v>
      </c>
      <c r="I19" s="131">
        <f t="shared" si="30"/>
        <v>5.6500316460259357E-3</v>
      </c>
      <c r="J19" s="108">
        <f t="shared" si="31"/>
        <v>1.9836387775670004E-2</v>
      </c>
    </row>
    <row r="20" spans="1:10">
      <c r="A20" s="87" t="s">
        <v>36</v>
      </c>
      <c r="B20" s="90" t="s">
        <v>59</v>
      </c>
      <c r="C20" s="100">
        <f t="shared" si="28"/>
        <v>520732.0800365617</v>
      </c>
      <c r="D20" s="101">
        <f>IFERROR(s_C*k_decay*s_Fin*s_Fi*s_Fam*s_Foff*s_ETres*(1/24)*s_EFres*(1/365)*Isospec!R19,".")</f>
        <v>0.42688728425697853</v>
      </c>
      <c r="E20" s="100">
        <f>C20*Doses!E18</f>
        <v>3371.7402182367368</v>
      </c>
      <c r="F20" s="131">
        <f>D20*Doses!L18</f>
        <v>4.601067989432881E-6</v>
      </c>
      <c r="G20" s="108">
        <f>SUM((C20*Doses!E18),(D20*Doses!L18))</f>
        <v>3371.740222837805</v>
      </c>
      <c r="H20" s="100">
        <f t="shared" si="29"/>
        <v>124.75438807475939</v>
      </c>
      <c r="I20" s="131">
        <f t="shared" si="30"/>
        <v>1.7023951560901678E-7</v>
      </c>
      <c r="J20" s="108">
        <f t="shared" si="31"/>
        <v>124.75438824499891</v>
      </c>
    </row>
    <row r="21" spans="1:10">
      <c r="A21" s="87" t="s">
        <v>37</v>
      </c>
      <c r="B21" s="12" t="s">
        <v>59</v>
      </c>
      <c r="C21" s="100">
        <f t="shared" si="28"/>
        <v>520732.0800365617</v>
      </c>
      <c r="D21" s="101">
        <f>IFERROR(s_C*k_decay*s_Fin*s_Fi*s_Fam*s_Foff*s_ETres*(1/24)*s_EFres*(1/365)*Isospec!R20,".")</f>
        <v>0.42886361427668673</v>
      </c>
      <c r="E21" s="100">
        <f>C21*Doses!E19</f>
        <v>0</v>
      </c>
      <c r="F21" s="131">
        <f>D21*Doses!L19</f>
        <v>1.7897893873693253E-5</v>
      </c>
      <c r="G21" s="108">
        <f>SUM((C21*Doses!E19),(D21*Doses!L19))</f>
        <v>1.7897893873693253E-5</v>
      </c>
      <c r="H21" s="100">
        <f t="shared" si="29"/>
        <v>0</v>
      </c>
      <c r="I21" s="131">
        <f t="shared" si="30"/>
        <v>6.6222207332665107E-7</v>
      </c>
      <c r="J21" s="108">
        <f t="shared" si="31"/>
        <v>6.6222207332665107E-7</v>
      </c>
    </row>
    <row r="22" spans="1:10">
      <c r="A22" s="87" t="s">
        <v>38</v>
      </c>
      <c r="B22" s="90" t="s">
        <v>59</v>
      </c>
      <c r="C22" s="100">
        <f t="shared" si="28"/>
        <v>520732.0800365617</v>
      </c>
      <c r="D22" s="101">
        <f>IFERROR(s_C*k_decay*s_Fin*s_Fi*s_Fam*s_Foff*s_ETres*(1/24)*s_EFres*(1/365)*Isospec!R21,".")</f>
        <v>0.42688728425697853</v>
      </c>
      <c r="E22" s="100">
        <f>C22*Doses!E20</f>
        <v>0</v>
      </c>
      <c r="F22" s="131">
        <f>D22*Doses!L20</f>
        <v>3.9273758217827297E-5</v>
      </c>
      <c r="G22" s="108">
        <f>SUM((C22*Doses!E20),(D22*Doses!L20))</f>
        <v>3.9273758217827297E-5</v>
      </c>
      <c r="H22" s="100">
        <f t="shared" si="29"/>
        <v>0</v>
      </c>
      <c r="I22" s="131">
        <f t="shared" si="30"/>
        <v>1.4531290540596115E-6</v>
      </c>
      <c r="J22" s="108">
        <f t="shared" si="31"/>
        <v>1.4531290540596115E-6</v>
      </c>
    </row>
    <row r="23" spans="1:10">
      <c r="A23" s="87" t="s">
        <v>39</v>
      </c>
      <c r="B23" s="90" t="s">
        <v>59</v>
      </c>
      <c r="C23" s="100">
        <f t="shared" si="28"/>
        <v>520732.0800365617</v>
      </c>
      <c r="D23" s="101">
        <f>IFERROR(s_C*k_decay*s_Fin*s_Fi*s_Fam*s_Foff*s_ETres*(1/24)*s_EFres*(1/365)*Isospec!R22,".")</f>
        <v>1.7786970177374104</v>
      </c>
      <c r="E23" s="100">
        <f>C23*Doses!E21</f>
        <v>0</v>
      </c>
      <c r="F23" s="131">
        <f>D23*Doses!L21</f>
        <v>1.3827323811337969E-8</v>
      </c>
      <c r="G23" s="108">
        <f>SUM((C23*Doses!E21),(D23*Doses!L21))</f>
        <v>1.3827323811337969E-8</v>
      </c>
      <c r="H23" s="100">
        <f t="shared" si="29"/>
        <v>0</v>
      </c>
      <c r="I23" s="131">
        <f t="shared" si="30"/>
        <v>5.1161098101950535E-10</v>
      </c>
      <c r="J23" s="108">
        <f t="shared" si="31"/>
        <v>5.1161098101950535E-10</v>
      </c>
    </row>
    <row r="24" spans="1:10">
      <c r="A24" s="87" t="s">
        <v>26</v>
      </c>
      <c r="B24" s="12" t="s">
        <v>59</v>
      </c>
      <c r="C24" s="100">
        <f t="shared" ref="C24:C25" si="32">IFERROR(s_C*k_decay*s_IFDres_adj*s_Fin*s_Fi,".")</f>
        <v>520732.0800365617</v>
      </c>
      <c r="D24" s="101">
        <f>IFERROR(s_C*k_decay*s_Fin*s_Fi*s_Fam*s_Foff*s_ETres*(1/24)*s_EFres*(1/365)*Isospec!R23,".")</f>
        <v>0.9348040993219946</v>
      </c>
      <c r="E24" s="100">
        <f>C24*Doses!E22</f>
        <v>458.55666968019625</v>
      </c>
      <c r="F24" s="131">
        <f>D24*Doses!L22</f>
        <v>1.2020645913181529E-2</v>
      </c>
      <c r="G24" s="108">
        <f>SUM((C24*Doses!E22),(D24*Doses!L22))</f>
        <v>458.56869032610945</v>
      </c>
      <c r="H24" s="100">
        <f t="shared" ref="H24:H25" si="33">E24/_1_bq</f>
        <v>16.966596778167279</v>
      </c>
      <c r="I24" s="131">
        <f t="shared" ref="I24:I25" si="34">F24/_1_bq</f>
        <v>4.4476389878771703E-4</v>
      </c>
      <c r="J24" s="108">
        <f t="shared" ref="J24:J25" si="35">G24/_1_bq</f>
        <v>16.967041542066067</v>
      </c>
    </row>
    <row r="25" spans="1:10">
      <c r="A25" s="88" t="s">
        <v>27</v>
      </c>
      <c r="B25" s="90" t="s">
        <v>44</v>
      </c>
      <c r="C25" s="100">
        <f t="shared" si="32"/>
        <v>520732.0800365617</v>
      </c>
      <c r="D25" s="101">
        <f>IFERROR(s_C*k_decay*s_Fin*s_Fi*s_Fam*s_Foff*s_ETres*(1/24)*s_EFres*(1/365)*Isospec!R24,".")</f>
        <v>0.62452028622780187</v>
      </c>
      <c r="E25" s="100">
        <f>C25*Doses!E23</f>
        <v>872.79903934928109</v>
      </c>
      <c r="F25" s="131">
        <f>D25*Doses!L23</f>
        <v>4.8768289535300064E-3</v>
      </c>
      <c r="G25" s="108">
        <f>SUM((C25*Doses!E23),(D25*Doses!L23))</f>
        <v>872.80391617823466</v>
      </c>
      <c r="H25" s="100">
        <f t="shared" si="33"/>
        <v>32.293564455923431</v>
      </c>
      <c r="I25" s="131">
        <f t="shared" si="34"/>
        <v>1.8044267128061042E-4</v>
      </c>
      <c r="J25" s="108">
        <f t="shared" si="35"/>
        <v>32.293744898594717</v>
      </c>
    </row>
    <row r="26" spans="1:10">
      <c r="A26" s="87" t="s">
        <v>30</v>
      </c>
      <c r="B26" s="90" t="s">
        <v>59</v>
      </c>
      <c r="C26" s="100">
        <f t="shared" ref="C26" si="36">IFERROR(s_C*k_decay*s_IFDres_adj*s_Fin*s_Fi,".")</f>
        <v>520732.0800365617</v>
      </c>
      <c r="D26" s="101">
        <f>IFERROR(s_C*k_decay*s_Fin*s_Fi*s_Fam*s_Foff*s_ETres*(1/24)*s_EFres*(1/365)*Isospec!R25,".")</f>
        <v>0.44072159439493613</v>
      </c>
      <c r="E26" s="100">
        <f>C26*Doses!E24</f>
        <v>0</v>
      </c>
      <c r="F26" s="131">
        <f>D26*Doses!L24</f>
        <v>3.7300736574572056E-4</v>
      </c>
      <c r="G26" s="108">
        <f>SUM((C26*Doses!E24),(D26*Doses!L24))</f>
        <v>3.7300736574572056E-4</v>
      </c>
      <c r="H26" s="100">
        <f t="shared" ref="H26" si="37">E26/_1_bq</f>
        <v>0</v>
      </c>
      <c r="I26" s="131">
        <f t="shared" ref="I26" si="38">F26/_1_bq</f>
        <v>1.3801272532591676E-5</v>
      </c>
      <c r="J26" s="108">
        <f t="shared" ref="J26" si="39">G26/_1_bq</f>
        <v>1.3801272532591676E-5</v>
      </c>
    </row>
    <row r="27" spans="1:10">
      <c r="A27" s="88" t="s">
        <v>31</v>
      </c>
      <c r="B27" s="90" t="s">
        <v>44</v>
      </c>
      <c r="C27" s="100">
        <f t="shared" ref="C27" si="40">IFERROR(s_C*k_decay*s_IFDres_adj*s_Fin*s_Fi,".")</f>
        <v>520732.0800365617</v>
      </c>
      <c r="D27" s="101">
        <f>IFERROR(s_C*k_decay*s_Fin*s_Fi*s_Fam*s_Foff*s_ETres*(1/24)*s_EFres*(1/365)*Isospec!R26,".")</f>
        <v>0.44072159439493613</v>
      </c>
      <c r="E27" s="100">
        <f>C27*Doses!E25</f>
        <v>0</v>
      </c>
      <c r="F27" s="131">
        <f>D27*Doses!L25</f>
        <v>1.9165571831133708E-4</v>
      </c>
      <c r="G27" s="108">
        <f>SUM((C27*Doses!E25),(D27*Doses!L25))</f>
        <v>1.9165571831133708E-4</v>
      </c>
      <c r="H27" s="100">
        <f t="shared" ref="H27" si="41">E27/_1_bq</f>
        <v>0</v>
      </c>
      <c r="I27" s="131">
        <f t="shared" ref="I27" si="42">F27/_1_bq</f>
        <v>7.0912615775194794E-6</v>
      </c>
      <c r="J27" s="108">
        <f t="shared" ref="J27" si="43">G27/_1_bq</f>
        <v>7.0912615775194794E-6</v>
      </c>
    </row>
    <row r="28" spans="1:10">
      <c r="A28" s="87" t="s">
        <v>35</v>
      </c>
      <c r="B28" s="12" t="s">
        <v>59</v>
      </c>
      <c r="C28" s="100">
        <f t="shared" ref="C28:C31" si="44">IFERROR(s_C*k_decay*s_IFDres_adj*s_Fin*s_Fi,".")</f>
        <v>520732.0800365617</v>
      </c>
      <c r="D28" s="101">
        <f>IFERROR(s_C*k_decay*s_Fin*s_Fi*s_Fam*s_Foff*s_ETres*(1/24)*s_EFres*(1/365)*Isospec!R27,".")</f>
        <v>1.021762620189157</v>
      </c>
      <c r="E28" s="100">
        <f>C28*Doses!E26</f>
        <v>1173.3655959463845</v>
      </c>
      <c r="F28" s="131">
        <f>D28*Doses!L26</f>
        <v>9.2569138982587146E-2</v>
      </c>
      <c r="G28" s="108">
        <f>SUM((C28*Doses!E26),(D28*Doses!L26))</f>
        <v>1173.458165085367</v>
      </c>
      <c r="H28" s="100">
        <f t="shared" ref="H28:H31" si="45">E28/_1_bq</f>
        <v>43.414527050016268</v>
      </c>
      <c r="I28" s="131">
        <f t="shared" ref="I28:I31" si="46">F28/_1_bq</f>
        <v>3.4250581423557278E-3</v>
      </c>
      <c r="J28" s="108">
        <f t="shared" ref="J28:J31" si="47">G28/_1_bq</f>
        <v>43.417952108158623</v>
      </c>
    </row>
    <row r="29" spans="1:10">
      <c r="A29" s="87" t="s">
        <v>40</v>
      </c>
      <c r="B29" s="90" t="s">
        <v>59</v>
      </c>
      <c r="C29" s="100">
        <f t="shared" si="44"/>
        <v>520732.0800365617</v>
      </c>
      <c r="D29" s="101">
        <f>IFERROR(s_C*k_decay*s_Fin*s_Fi*s_Fam*s_Foff*s_ETres*(1/24)*s_EFres*(1/365)*Isospec!R28,".")</f>
        <v>0.78657934784387706</v>
      </c>
      <c r="E29" s="100">
        <f>C29*Doses!E27</f>
        <v>0</v>
      </c>
      <c r="F29" s="131">
        <f>D29*Doses!L27</f>
        <v>5.6274088966924929E-2</v>
      </c>
      <c r="G29" s="108">
        <f>SUM((C29*Doses!E27),(D29*Doses!L27))</f>
        <v>5.6274088966924929E-2</v>
      </c>
      <c r="H29" s="100">
        <f t="shared" si="45"/>
        <v>0</v>
      </c>
      <c r="I29" s="131">
        <f t="shared" si="46"/>
        <v>2.0821412917762243E-3</v>
      </c>
      <c r="J29" s="108">
        <f t="shared" si="47"/>
        <v>2.0821412917762243E-3</v>
      </c>
    </row>
    <row r="30" spans="1:10">
      <c r="A30" s="87" t="s">
        <v>41</v>
      </c>
      <c r="B30" s="12" t="s">
        <v>59</v>
      </c>
      <c r="C30" s="100">
        <f t="shared" si="44"/>
        <v>520732.0800365617</v>
      </c>
      <c r="D30" s="101">
        <f>IFERROR(s_C*k_decay*s_Fin*s_Fi*s_Fam*s_Foff*s_ETres*(1/24)*s_EFres*(1/365)*Isospec!R29,".")</f>
        <v>0.43083994429639499</v>
      </c>
      <c r="E30" s="100">
        <f>C30*Doses!E28</f>
        <v>0</v>
      </c>
      <c r="F30" s="131">
        <f>D30*Doses!L28</f>
        <v>1.0173768276626212</v>
      </c>
      <c r="G30" s="108">
        <f>SUM((C30*Doses!E28),(D30*Doses!L28))</f>
        <v>1.0173768276626212</v>
      </c>
      <c r="H30" s="100">
        <f t="shared" si="45"/>
        <v>0</v>
      </c>
      <c r="I30" s="131">
        <f t="shared" si="46"/>
        <v>3.7642942623517021E-2</v>
      </c>
      <c r="J30" s="108">
        <f t="shared" si="47"/>
        <v>3.7642942623517021E-2</v>
      </c>
    </row>
    <row r="31" spans="1:10">
      <c r="A31" s="87" t="s">
        <v>42</v>
      </c>
      <c r="B31" s="90" t="s">
        <v>59</v>
      </c>
      <c r="C31" s="100">
        <f t="shared" si="44"/>
        <v>520732.0800365617</v>
      </c>
      <c r="D31" s="101">
        <f>IFERROR(s_C*k_decay*s_Fin*s_Fi*s_Fam*s_Foff*s_ETres*(1/24)*s_EFres*(1/365)*Isospec!R30,".")</f>
        <v>0.43479260433581146</v>
      </c>
      <c r="E31" s="100">
        <f>C31*Doses!E29</f>
        <v>0</v>
      </c>
      <c r="F31" s="131">
        <f>D31*Doses!L29</f>
        <v>1.3418395437970079</v>
      </c>
      <c r="G31" s="108">
        <f>SUM((C31*Doses!E29),(D31*Doses!L29))</f>
        <v>1.3418395437970079</v>
      </c>
      <c r="H31" s="100">
        <f t="shared" si="45"/>
        <v>0</v>
      </c>
      <c r="I31" s="131">
        <f t="shared" si="46"/>
        <v>4.964806312048934E-2</v>
      </c>
      <c r="J31" s="108">
        <f t="shared" si="47"/>
        <v>4.964806312048934E-2</v>
      </c>
    </row>
    <row r="32" spans="1:10" ht="13.5" thickBot="1">
      <c r="A32" s="87" t="s">
        <v>25</v>
      </c>
      <c r="B32" s="12" t="s">
        <v>59</v>
      </c>
      <c r="C32" s="100">
        <f t="shared" ref="C32" si="48">IFERROR(s_C*k_decay*s_IFDres_adj*s_Fin*s_Fi,".")</f>
        <v>520732.0800365617</v>
      </c>
      <c r="D32" s="101">
        <f>IFERROR(s_C*k_decay*s_Fin*s_Fi*s_Fam*s_Foff*s_ETres*(1/24)*s_EFres*(1/365)*Isospec!R31,".")</f>
        <v>1.2352062623176461</v>
      </c>
      <c r="E32" s="100">
        <f>C32*Doses!E30</f>
        <v>115.98786350734375</v>
      </c>
      <c r="F32" s="131">
        <f>D32*Doses!L30</f>
        <v>6.8732311342908025E-4</v>
      </c>
      <c r="G32" s="108">
        <f>SUM((C32*Doses!E30),(D32*Doses!L30))</f>
        <v>115.98855083045717</v>
      </c>
      <c r="H32" s="100">
        <f t="shared" ref="H32" si="49">E32/_1_bq</f>
        <v>4.2915509497717226</v>
      </c>
      <c r="I32" s="131">
        <f t="shared" ref="I32" si="50">F32/_1_bq</f>
        <v>2.5430955196875994E-5</v>
      </c>
      <c r="J32" s="108">
        <f t="shared" ref="J32" si="51">G32/_1_bq</f>
        <v>4.2915763807269194</v>
      </c>
    </row>
    <row r="33" spans="1:10" ht="15">
      <c r="A33" s="109" t="s">
        <v>14</v>
      </c>
      <c r="B33" s="109" t="s">
        <v>59</v>
      </c>
      <c r="C33" s="128"/>
      <c r="D33" s="129"/>
      <c r="E33" s="110">
        <f>SUM(E34:E46)</f>
        <v>2551.2757099540013</v>
      </c>
      <c r="F33" s="111">
        <f t="shared" ref="F33:G33" si="52">SUM(F34:F46)</f>
        <v>0.48235686051440491</v>
      </c>
      <c r="G33" s="112">
        <f t="shared" si="52"/>
        <v>2551.7580668145156</v>
      </c>
      <c r="H33" s="110">
        <f t="shared" ref="H33:H60" si="53">E33/_1_bq</f>
        <v>94.397201268298147</v>
      </c>
      <c r="I33" s="111">
        <f t="shared" ref="I33:I60" si="54">F33/_1_bq</f>
        <v>1.7847203839032998E-2</v>
      </c>
      <c r="J33" s="112">
        <f t="shared" ref="J33:J60" si="55">G33/_1_bq</f>
        <v>94.415048472137173</v>
      </c>
    </row>
    <row r="34" spans="1:10" ht="15">
      <c r="A34" s="113" t="s">
        <v>175</v>
      </c>
      <c r="B34" s="114">
        <v>1</v>
      </c>
      <c r="C34" s="128"/>
      <c r="D34" s="129"/>
      <c r="E34" s="115">
        <f>IFERROR(VLOOKUP("Am-241",$A$4:$J$32,3)*VLOOKUP("Am-241",Doses!$A$1:$O$30,5)*$B34,0)</f>
        <v>458.55666968019625</v>
      </c>
      <c r="F34" s="127">
        <f>IFERROR(VLOOKUP("Am-241",$A$4:$J$32,4)*VLOOKUP("Am-241",Doses!$A$1:$O$30,12)*$B34,0)</f>
        <v>2.5484785881053774E-2</v>
      </c>
      <c r="G34" s="117">
        <f>SUM(E34:F34)</f>
        <v>458.58215446607733</v>
      </c>
      <c r="H34" s="115">
        <f t="shared" si="53"/>
        <v>16.966596778167279</v>
      </c>
      <c r="I34" s="116">
        <f t="shared" si="54"/>
        <v>9.4293707759899063E-4</v>
      </c>
      <c r="J34" s="117">
        <f t="shared" si="55"/>
        <v>16.967539715244879</v>
      </c>
    </row>
    <row r="35" spans="1:10" ht="15">
      <c r="A35" s="113" t="s">
        <v>176</v>
      </c>
      <c r="B35" s="114">
        <v>1</v>
      </c>
      <c r="C35" s="128"/>
      <c r="D35" s="129"/>
      <c r="E35" s="115">
        <f>IFERROR(VLOOKUP("Np-237",$A$4:$J$32,3)*VLOOKUP("Np-237",Doses!$A$1:$O$31,5)*$B35,0)</f>
        <v>240.8385870169098</v>
      </c>
      <c r="F35" s="127">
        <f>IFERROR(VLOOKUP("Np-237",$A$4:$J$32,4)*VLOOKUP("Np-237",Doses!$A$1:$O$31,12)*$B35,0)</f>
        <v>3.0497277400031032E-2</v>
      </c>
      <c r="G35" s="117">
        <f t="shared" ref="G35:G46" si="56">SUM(E35:F35)</f>
        <v>240.86908429430983</v>
      </c>
      <c r="H35" s="115">
        <f t="shared" si="53"/>
        <v>8.9110277196256718</v>
      </c>
      <c r="I35" s="116">
        <f t="shared" si="54"/>
        <v>1.1283992638011493E-3</v>
      </c>
      <c r="J35" s="117">
        <f t="shared" si="55"/>
        <v>8.912156118889472</v>
      </c>
    </row>
    <row r="36" spans="1:10" ht="15">
      <c r="A36" s="113" t="s">
        <v>177</v>
      </c>
      <c r="B36" s="114">
        <v>1</v>
      </c>
      <c r="C36" s="128"/>
      <c r="D36" s="129"/>
      <c r="E36" s="115">
        <f>IFERROR(VLOOKUP("Pa-233",$A$4:$J$32,3)*VLOOKUP("Pa-233",Doses!$A$1:$O$32,5)*$B36,0)</f>
        <v>2.5432554788985673</v>
      </c>
      <c r="F36" s="127">
        <f>IFERROR(VLOOKUP("Pa-233",$A$4:$J$32,4)*VLOOKUP("Pa-233",Doses!$A$1:$O$32,12)*$B36,0)</f>
        <v>0.16894055578617836</v>
      </c>
      <c r="G36" s="117">
        <f t="shared" si="56"/>
        <v>2.7121960346847458</v>
      </c>
      <c r="H36" s="115">
        <f t="shared" si="53"/>
        <v>9.410045271924708E-2</v>
      </c>
      <c r="I36" s="116">
        <f t="shared" si="54"/>
        <v>6.2508005640886056E-3</v>
      </c>
      <c r="J36" s="117">
        <f t="shared" si="55"/>
        <v>0.10035125328333569</v>
      </c>
    </row>
    <row r="37" spans="1:10" ht="15">
      <c r="A37" s="113" t="s">
        <v>178</v>
      </c>
      <c r="B37" s="114">
        <v>1</v>
      </c>
      <c r="C37" s="128"/>
      <c r="D37" s="129"/>
      <c r="E37" s="115">
        <f>IFERROR(VLOOKUP("U-233",$A$4:$J$32,3)*VLOOKUP("U-233",Doses!$A$1:$O$33,5)*$B37,0)</f>
        <v>115.98786350734375</v>
      </c>
      <c r="F37" s="127">
        <f>IFERROR(VLOOKUP("U-233",$A$4:$J$32,4)*VLOOKUP("U-233",Doses!$A$1:$O$33,12)*$B37,0)</f>
        <v>6.8732311342908025E-4</v>
      </c>
      <c r="G37" s="117">
        <f t="shared" si="56"/>
        <v>115.98855083045717</v>
      </c>
      <c r="H37" s="115">
        <f t="shared" si="53"/>
        <v>4.2915509497717226</v>
      </c>
      <c r="I37" s="116">
        <f t="shared" si="54"/>
        <v>2.5430955196875994E-5</v>
      </c>
      <c r="J37" s="117">
        <f t="shared" si="55"/>
        <v>4.2915763807269194</v>
      </c>
    </row>
    <row r="38" spans="1:10" ht="15">
      <c r="A38" s="113" t="s">
        <v>179</v>
      </c>
      <c r="B38" s="114">
        <v>1</v>
      </c>
      <c r="C38" s="128"/>
      <c r="D38" s="129"/>
      <c r="E38" s="115">
        <f>IFERROR(VLOOKUP("Th-229",$A$4:$J$32,3)*VLOOKUP("Th-229",Doses!$A$1:$O$34,5)*$B38,0)</f>
        <v>1173.3655959463845</v>
      </c>
      <c r="F38" s="127">
        <f>IFERROR(VLOOKUP("Th-229",$A$4:$J$32,4)*VLOOKUP("Th-229",Doses!$A$1:$O$34,12)*$B38,0)</f>
        <v>9.2569138982587146E-2</v>
      </c>
      <c r="G38" s="117">
        <f t="shared" si="56"/>
        <v>1173.458165085367</v>
      </c>
      <c r="H38" s="115">
        <f t="shared" si="53"/>
        <v>43.414527050016268</v>
      </c>
      <c r="I38" s="116">
        <f t="shared" si="54"/>
        <v>3.4250581423557278E-3</v>
      </c>
      <c r="J38" s="117">
        <f t="shared" si="55"/>
        <v>43.417952108158623</v>
      </c>
    </row>
    <row r="39" spans="1:10" ht="15">
      <c r="A39" s="113" t="s">
        <v>180</v>
      </c>
      <c r="B39" s="114">
        <v>1</v>
      </c>
      <c r="C39" s="128"/>
      <c r="D39" s="129"/>
      <c r="E39" s="115">
        <f>IFERROR(VLOOKUP("Ra-225",$A$4:$J$32,3)*VLOOKUP("Ra-225",Doses!$A$1:$O$35,5)*$B39,0)</f>
        <v>458.55666968019625</v>
      </c>
      <c r="F39" s="127">
        <f>IFERROR(VLOOKUP("Ra-225",$A$4:$J$32,4)*VLOOKUP("Ra-225",Doses!$A$1:$O$35,12)*$B39,0)</f>
        <v>1.2020645913181529E-2</v>
      </c>
      <c r="G39" s="117">
        <f t="shared" si="56"/>
        <v>458.56869032610945</v>
      </c>
      <c r="H39" s="115">
        <f t="shared" si="53"/>
        <v>16.966596778167279</v>
      </c>
      <c r="I39" s="116">
        <f t="shared" si="54"/>
        <v>4.4476389878771703E-4</v>
      </c>
      <c r="J39" s="117">
        <f t="shared" si="55"/>
        <v>16.967041542066067</v>
      </c>
    </row>
    <row r="40" spans="1:10" ht="15">
      <c r="A40" s="113" t="s">
        <v>181</v>
      </c>
      <c r="B40" s="114">
        <v>1</v>
      </c>
      <c r="C40" s="128"/>
      <c r="D40" s="129"/>
      <c r="E40" s="115">
        <f>IFERROR(VLOOKUP("Ac-225",$A$4:$J$32,3)*VLOOKUP("Ac-225",Doses!$A$1:$O$36,5)*$B40,0)</f>
        <v>100.76686480787507</v>
      </c>
      <c r="F40" s="127">
        <f>IFERROR(VLOOKUP("Ac-225",$A$4:$J$32,4)*VLOOKUP("Ac-225",Doses!$A$1:$O$36,12)*$B40,0)</f>
        <v>1.6925476063803169E-2</v>
      </c>
      <c r="G40" s="117">
        <f t="shared" si="56"/>
        <v>100.78379028393887</v>
      </c>
      <c r="H40" s="115">
        <f t="shared" si="53"/>
        <v>3.728373997891381</v>
      </c>
      <c r="I40" s="116">
        <f t="shared" si="54"/>
        <v>6.2624261436071795E-4</v>
      </c>
      <c r="J40" s="117">
        <f t="shared" si="55"/>
        <v>3.7290002405057421</v>
      </c>
    </row>
    <row r="41" spans="1:10" ht="15">
      <c r="A41" s="113" t="s">
        <v>182</v>
      </c>
      <c r="B41" s="114">
        <v>1</v>
      </c>
      <c r="C41" s="128"/>
      <c r="D41" s="129"/>
      <c r="E41" s="115">
        <f>IFERROR(VLOOKUP("Fr-221",$A$4:$J$32,3)*VLOOKUP("Fr-221",Doses!$A$1:$O$37,5)*$B41,0)</f>
        <v>0</v>
      </c>
      <c r="F41" s="127">
        <f>IFERROR(VLOOKUP("Fr-221",$A$4:$J$32,4)*VLOOKUP("Fr-221",Doses!$A$1:$O$37,12)*$B41,0)</f>
        <v>1.814717845836215E-2</v>
      </c>
      <c r="G41" s="117">
        <f t="shared" si="56"/>
        <v>1.814717845836215E-2</v>
      </c>
      <c r="H41" s="115">
        <f t="shared" si="53"/>
        <v>0</v>
      </c>
      <c r="I41" s="116">
        <f t="shared" si="54"/>
        <v>6.7144560295940019E-4</v>
      </c>
      <c r="J41" s="117">
        <f t="shared" si="55"/>
        <v>6.7144560295940019E-4</v>
      </c>
    </row>
    <row r="42" spans="1:10" ht="15">
      <c r="A42" s="113" t="s">
        <v>183</v>
      </c>
      <c r="B42" s="114">
        <v>1</v>
      </c>
      <c r="C42" s="128"/>
      <c r="D42" s="129"/>
      <c r="E42" s="115">
        <f>IFERROR(VLOOKUP("At-217",$A$4:$J$32,3)*VLOOKUP("At-217",Doses!$A$1:$O$38,5)*$B42,0)</f>
        <v>0</v>
      </c>
      <c r="F42" s="127">
        <f>IFERROR(VLOOKUP("At-217",$A$4:$J$32,4)*VLOOKUP("At-217",Doses!$A$1:$O$38,12)*$B42,0)</f>
        <v>1.447467821934748E-4</v>
      </c>
      <c r="G42" s="117">
        <f t="shared" si="56"/>
        <v>1.447467821934748E-4</v>
      </c>
      <c r="H42" s="115">
        <f t="shared" si="53"/>
        <v>0</v>
      </c>
      <c r="I42" s="116">
        <f t="shared" si="54"/>
        <v>5.3556309411585734E-6</v>
      </c>
      <c r="J42" s="117">
        <f t="shared" si="55"/>
        <v>5.3556309411585734E-6</v>
      </c>
    </row>
    <row r="43" spans="1:10" ht="15">
      <c r="A43" s="113" t="s">
        <v>184</v>
      </c>
      <c r="B43" s="118">
        <v>0.99987999999999999</v>
      </c>
      <c r="C43" s="128"/>
      <c r="D43" s="129"/>
      <c r="E43" s="115">
        <f>IFERROR(VLOOKUP("Bi-213",$A$4:$J$32,3)*VLOOKUP("Bi-213",Doses!$A$1:$O$39,5)*$B43,0)</f>
        <v>0.51629596761258689</v>
      </c>
      <c r="F43" s="127">
        <f>IFERROR(VLOOKUP("Bi-213",$A$4:$J$32,4)*VLOOKUP("Bi-213",Doses!$A$1:$O$39,12)*$B43,0)</f>
        <v>8.9029425410493329E-2</v>
      </c>
      <c r="G43" s="117">
        <f t="shared" si="56"/>
        <v>0.60532539302308019</v>
      </c>
      <c r="H43" s="115">
        <f t="shared" si="53"/>
        <v>1.9102950801665734E-2</v>
      </c>
      <c r="I43" s="116">
        <f t="shared" si="54"/>
        <v>3.2940887401882563E-3</v>
      </c>
      <c r="J43" s="117">
        <f t="shared" si="55"/>
        <v>2.2397039541853989E-2</v>
      </c>
    </row>
    <row r="44" spans="1:10" ht="15">
      <c r="A44" s="113" t="s">
        <v>185</v>
      </c>
      <c r="B44" s="114">
        <v>0.97898250799999997</v>
      </c>
      <c r="C44" s="128"/>
      <c r="D44" s="129"/>
      <c r="E44" s="115">
        <f>IFERROR(VLOOKUP("Po-213",$A$4:$J$32,3)*VLOOKUP("Po-213",Doses!$A$1:$O$40,5)*$B44,0)</f>
        <v>0</v>
      </c>
      <c r="F44" s="127">
        <f>IFERROR(VLOOKUP("Po-213",$A$4:$J$32,4)*VLOOKUP("Po-213",Doses!$A$1:$O$40,12)*$B44,0)</f>
        <v>1.7521725032386054E-5</v>
      </c>
      <c r="G44" s="117">
        <f t="shared" si="56"/>
        <v>1.7521725032386054E-5</v>
      </c>
      <c r="H44" s="115">
        <f t="shared" si="53"/>
        <v>0</v>
      </c>
      <c r="I44" s="116">
        <f t="shared" si="54"/>
        <v>6.4830382619828471E-7</v>
      </c>
      <c r="J44" s="117">
        <f t="shared" si="55"/>
        <v>6.4830382619828471E-7</v>
      </c>
    </row>
    <row r="45" spans="1:10" ht="15">
      <c r="A45" s="113" t="s">
        <v>186</v>
      </c>
      <c r="B45" s="114">
        <v>2.0897492E-2</v>
      </c>
      <c r="C45" s="128"/>
      <c r="D45" s="129"/>
      <c r="E45" s="115">
        <f>IFERROR(VLOOKUP("Tl-209",$A$4:$J$32,3)*VLOOKUP("Tl-209",Doses!$A$1:$O$41,5)*$B45,0)</f>
        <v>0</v>
      </c>
      <c r="F45" s="127">
        <f>IFERROR(VLOOKUP("Tl-209",$A$4:$J$32,4)*VLOOKUP("Tl-209",Doses!$A$1:$O$41,12)*$B45,0)</f>
        <v>2.1260624117065006E-2</v>
      </c>
      <c r="G45" s="117">
        <f t="shared" si="56"/>
        <v>2.1260624117065006E-2</v>
      </c>
      <c r="H45" s="115">
        <f t="shared" si="53"/>
        <v>0</v>
      </c>
      <c r="I45" s="116">
        <f t="shared" si="54"/>
        <v>7.8664309233140604E-4</v>
      </c>
      <c r="J45" s="117">
        <f t="shared" si="55"/>
        <v>7.8664309233140604E-4</v>
      </c>
    </row>
    <row r="46" spans="1:10" ht="15">
      <c r="A46" s="113" t="s">
        <v>187</v>
      </c>
      <c r="B46" s="114">
        <v>0.99987999999999999</v>
      </c>
      <c r="C46" s="128"/>
      <c r="D46" s="129"/>
      <c r="E46" s="115">
        <f>IFERROR(VLOOKUP("Pb-209",$A$4:$J$32,3)*VLOOKUP("Pb-209",Doses!$A$1:$O$42,5)*$B46,0)</f>
        <v>0.14390786858455312</v>
      </c>
      <c r="F46" s="127">
        <f>IFERROR(VLOOKUP("Pb-209",$A$4:$J$32,4)*VLOOKUP("Pb-209",Doses!$A$1:$O$42,12)*$B46,0)</f>
        <v>6.632160880994456E-3</v>
      </c>
      <c r="G46" s="117">
        <f t="shared" si="56"/>
        <v>0.15054002946554756</v>
      </c>
      <c r="H46" s="115">
        <f t="shared" si="53"/>
        <v>5.3245911376284712E-3</v>
      </c>
      <c r="I46" s="116">
        <f t="shared" si="54"/>
        <v>2.4538995259679511E-4</v>
      </c>
      <c r="J46" s="117">
        <f t="shared" si="55"/>
        <v>5.5699810902252655E-3</v>
      </c>
    </row>
    <row r="47" spans="1:10" ht="15">
      <c r="A47" s="109" t="s">
        <v>17</v>
      </c>
      <c r="B47" s="109" t="s">
        <v>59</v>
      </c>
      <c r="C47" s="128"/>
      <c r="D47" s="130"/>
      <c r="E47" s="119">
        <f>SUM(E48:E49)</f>
        <v>25.625225658599202</v>
      </c>
      <c r="F47" s="126">
        <f>SUM(F48:F49)</f>
        <v>0.2823288095783793</v>
      </c>
      <c r="G47" s="121">
        <f>SUM(G48:G49)</f>
        <v>25.907554468177583</v>
      </c>
      <c r="H47" s="119">
        <f t="shared" si="53"/>
        <v>0.9481333493681714</v>
      </c>
      <c r="I47" s="120">
        <f t="shared" si="54"/>
        <v>1.0446165954400045E-2</v>
      </c>
      <c r="J47" s="121">
        <f t="shared" si="55"/>
        <v>0.95857951532257157</v>
      </c>
    </row>
    <row r="48" spans="1:10" ht="15">
      <c r="A48" s="113" t="s">
        <v>188</v>
      </c>
      <c r="B48" s="114">
        <v>1</v>
      </c>
      <c r="C48" s="128"/>
      <c r="D48" s="129"/>
      <c r="E48" s="115">
        <f>IFERROR(VLOOKUP("Cs-137",$A$4:$J$32,3)*VLOOKUP("Cs-137",Doses!$A$1:$O$40,5)*$B48,0)</f>
        <v>25.625225658599202</v>
      </c>
      <c r="F48" s="127">
        <f>IFERROR(VLOOKUP("Cs-137",$A$4:$J$32,4)*VLOOKUP("Cs-137",Doses!$A$1:$O$40,12)*$B48,0)</f>
        <v>1.7065944115219932E-3</v>
      </c>
      <c r="G48" s="117">
        <f t="shared" ref="G48:G49" si="57">SUM(E48:F48)</f>
        <v>25.626932253010725</v>
      </c>
      <c r="H48" s="115">
        <f t="shared" si="53"/>
        <v>0.9481333493681714</v>
      </c>
      <c r="I48" s="116">
        <f t="shared" si="54"/>
        <v>6.3143993226313818E-5</v>
      </c>
      <c r="J48" s="117">
        <f t="shared" si="55"/>
        <v>0.94819649336139777</v>
      </c>
    </row>
    <row r="49" spans="1:10" ht="15">
      <c r="A49" s="113" t="s">
        <v>189</v>
      </c>
      <c r="B49" s="114">
        <v>0.94399</v>
      </c>
      <c r="C49" s="128"/>
      <c r="D49" s="129"/>
      <c r="E49" s="115">
        <f>IFERROR(VLOOKUP("Ba-137m",$A$4:$J$32,3)*VLOOKUP("Ba-137m",Doses!$A$1:$O$40,5)*$B49,0)</f>
        <v>0</v>
      </c>
      <c r="F49" s="127">
        <f>IFERROR(VLOOKUP("Ba-137m",$A$4:$J$32,4)*VLOOKUP("Ba-137m",Doses!$A$1:$O$40,12)*$B49,0)</f>
        <v>0.28062221516685731</v>
      </c>
      <c r="G49" s="117">
        <f t="shared" si="57"/>
        <v>0.28062221516685731</v>
      </c>
      <c r="H49" s="115">
        <f t="shared" si="53"/>
        <v>0</v>
      </c>
      <c r="I49" s="116">
        <f t="shared" si="54"/>
        <v>1.0383021961173732E-2</v>
      </c>
      <c r="J49" s="117">
        <f t="shared" si="55"/>
        <v>1.0383021961173732E-2</v>
      </c>
    </row>
    <row r="50" spans="1:10" ht="15">
      <c r="A50" s="109" t="s">
        <v>27</v>
      </c>
      <c r="B50" s="109" t="s">
        <v>59</v>
      </c>
      <c r="C50" s="128"/>
      <c r="D50" s="130"/>
      <c r="E50" s="119">
        <f>SUM(E51:E64)</f>
        <v>6213.9206211828787</v>
      </c>
      <c r="F50" s="126">
        <f>SUM(F51:F64)</f>
        <v>0.87795499424790358</v>
      </c>
      <c r="G50" s="121">
        <f>SUM(G51:G64)</f>
        <v>6214.7985761771261</v>
      </c>
      <c r="H50" s="119">
        <f t="shared" si="53"/>
        <v>229.91506298376675</v>
      </c>
      <c r="I50" s="120">
        <f t="shared" si="54"/>
        <v>3.2484334787172463E-2</v>
      </c>
      <c r="J50" s="121">
        <f t="shared" si="55"/>
        <v>229.94754731855389</v>
      </c>
    </row>
    <row r="51" spans="1:10" ht="15">
      <c r="A51" s="113" t="s">
        <v>190</v>
      </c>
      <c r="B51" s="114">
        <v>1</v>
      </c>
      <c r="C51" s="128"/>
      <c r="D51" s="129"/>
      <c r="E51" s="115">
        <f>IFERROR(VLOOKUP("Ra-226",$A$4:$J$32,3)*VLOOKUP("Ra-226",Doses!$A$1:$O$40,5)*$B51,0)</f>
        <v>872.79903934928109</v>
      </c>
      <c r="F51" s="127">
        <f>IFERROR(VLOOKUP("Ra-226",$A$4:$J$32,4)*VLOOKUP("Ra-226",Doses!$A$1:$O$40,12)*$B51,0)</f>
        <v>4.8768289535300064E-3</v>
      </c>
      <c r="G51" s="117">
        <f t="shared" ref="G51:G64" si="58">SUM(E51:F51)</f>
        <v>872.80391617823466</v>
      </c>
      <c r="H51" s="115">
        <f t="shared" si="53"/>
        <v>32.293564455923431</v>
      </c>
      <c r="I51" s="116">
        <f t="shared" si="54"/>
        <v>1.8044267128061042E-4</v>
      </c>
      <c r="J51" s="117">
        <f t="shared" si="55"/>
        <v>32.293744898594717</v>
      </c>
    </row>
    <row r="52" spans="1:10" ht="15">
      <c r="A52" s="113" t="s">
        <v>191</v>
      </c>
      <c r="B52" s="114">
        <v>1</v>
      </c>
      <c r="C52" s="128"/>
      <c r="D52" s="129"/>
      <c r="E52" s="115">
        <f>IFERROR(VLOOKUP("Rn-222",$A$4:$J$32,3)*VLOOKUP("Rn-222",Doses!$A$1:$O$40,5)*$B52,0)</f>
        <v>0</v>
      </c>
      <c r="F52" s="127">
        <f>IFERROR(VLOOKUP("Rn-222",$A$4:$J$32,4)*VLOOKUP("Rn-222",Doses!$A$1:$O$40,12)*$B52,0)</f>
        <v>1.9165571831133708E-4</v>
      </c>
      <c r="G52" s="117">
        <f t="shared" si="58"/>
        <v>1.9165571831133708E-4</v>
      </c>
      <c r="H52" s="115">
        <f t="shared" si="53"/>
        <v>0</v>
      </c>
      <c r="I52" s="116">
        <f t="shared" si="54"/>
        <v>7.0912615775194794E-6</v>
      </c>
      <c r="J52" s="117">
        <f t="shared" si="55"/>
        <v>7.0912615775194794E-6</v>
      </c>
    </row>
    <row r="53" spans="1:10" ht="15">
      <c r="A53" s="113" t="s">
        <v>192</v>
      </c>
      <c r="B53" s="114">
        <v>1</v>
      </c>
      <c r="C53" s="128"/>
      <c r="D53" s="129"/>
      <c r="E53" s="115">
        <f>IFERROR(VLOOKUP("Po-218",$A$4:$J$32,3)*VLOOKUP("Po-218",Doses!$A$1:$O$40,5)*$B53,0)</f>
        <v>0</v>
      </c>
      <c r="F53" s="127">
        <f>IFERROR(VLOOKUP("Po-218",$A$4:$J$32,4)*VLOOKUP("Po-218",Doses!$A$1:$O$40,12)*$B53,0)</f>
        <v>1.3827323811337969E-8</v>
      </c>
      <c r="G53" s="117">
        <f t="shared" si="58"/>
        <v>1.3827323811337969E-8</v>
      </c>
      <c r="H53" s="115">
        <f t="shared" si="53"/>
        <v>0</v>
      </c>
      <c r="I53" s="116">
        <f t="shared" si="54"/>
        <v>5.1161098101950535E-10</v>
      </c>
      <c r="J53" s="117">
        <f t="shared" si="55"/>
        <v>5.1161098101950535E-10</v>
      </c>
    </row>
    <row r="54" spans="1:10" ht="15">
      <c r="A54" s="113" t="s">
        <v>194</v>
      </c>
      <c r="B54" s="114">
        <v>2.0000000000000001E-4</v>
      </c>
      <c r="C54" s="128"/>
      <c r="D54" s="129"/>
      <c r="E54" s="115">
        <f>IFERROR(VLOOKUP("At-218",$A$4:$J$32,3)*VLOOKUP("At-218",Doses!$A$1:$O$40,5)*$B54,0)</f>
        <v>0</v>
      </c>
      <c r="F54" s="127">
        <f>IFERROR(VLOOKUP("At-218",$A$4:$J$32,4)*VLOOKUP("At-218",Doses!$A$1:$O$40,12)*$B54,0)</f>
        <v>5.1982420343375818E-8</v>
      </c>
      <c r="G54" s="117">
        <f>SUM(E54:F54)</f>
        <v>5.1982420343375818E-8</v>
      </c>
      <c r="H54" s="115">
        <f t="shared" si="53"/>
        <v>0</v>
      </c>
      <c r="I54" s="116">
        <f t="shared" si="54"/>
        <v>1.9233495527049073E-9</v>
      </c>
      <c r="J54" s="117">
        <f t="shared" si="55"/>
        <v>1.9233495527049073E-9</v>
      </c>
    </row>
    <row r="55" spans="1:10" ht="15">
      <c r="A55" s="113" t="s">
        <v>196</v>
      </c>
      <c r="B55" s="114">
        <v>1.9999999999999999E-7</v>
      </c>
      <c r="C55" s="128"/>
      <c r="D55" s="129"/>
      <c r="E55" s="115">
        <f>IFERROR(VLOOKUP("Rn-218",$A$4:$J$32,3)*VLOOKUP("Rn-218",Doses!$A$1:$O$40,5)*$B55,0)</f>
        <v>0</v>
      </c>
      <c r="F55" s="127">
        <f>IFERROR(VLOOKUP("Rn-218",$A$4:$J$32,4)*VLOOKUP("Rn-218",Doses!$A$1:$O$40,12)*$B55,0)</f>
        <v>7.4601473149144112E-11</v>
      </c>
      <c r="G55" s="117">
        <f>SUM(E55:F55)</f>
        <v>7.4601473149144112E-11</v>
      </c>
      <c r="H55" s="115">
        <f t="shared" si="53"/>
        <v>0</v>
      </c>
      <c r="I55" s="116">
        <f t="shared" si="54"/>
        <v>2.7602545065183349E-12</v>
      </c>
      <c r="J55" s="117">
        <f t="shared" si="55"/>
        <v>2.7602545065183349E-12</v>
      </c>
    </row>
    <row r="56" spans="1:10" ht="15">
      <c r="A56" s="113" t="s">
        <v>193</v>
      </c>
      <c r="B56" s="114">
        <v>0.99980000000000002</v>
      </c>
      <c r="C56" s="128"/>
      <c r="D56" s="129"/>
      <c r="E56" s="115">
        <f>IFERROR(VLOOKUP("Pb-214",$A$4:$J$32,3)*VLOOKUP("Pb-214",Doses!$A$1:$O$40,5)*$B56,0)</f>
        <v>0.38333834752481422</v>
      </c>
      <c r="F56" s="127">
        <f>IFERROR(VLOOKUP("Pb-214",$A$4:$J$32,4)*VLOOKUP("Pb-214",Doses!$A$1:$O$40,12)*$B56,0)</f>
        <v>0.15267301728910068</v>
      </c>
      <c r="G56" s="117">
        <f t="shared" si="58"/>
        <v>0.53601136481391487</v>
      </c>
      <c r="H56" s="115">
        <f t="shared" si="53"/>
        <v>1.418351885841814E-2</v>
      </c>
      <c r="I56" s="116">
        <f t="shared" si="54"/>
        <v>5.6489016396967309E-3</v>
      </c>
      <c r="J56" s="117">
        <f t="shared" si="55"/>
        <v>1.9832420498114869E-2</v>
      </c>
    </row>
    <row r="57" spans="1:10" ht="15">
      <c r="A57" s="113" t="s">
        <v>195</v>
      </c>
      <c r="B57" s="114">
        <v>0.99999979999999999</v>
      </c>
      <c r="C57" s="128"/>
      <c r="D57" s="129"/>
      <c r="E57" s="115">
        <f>IFERROR(VLOOKUP("Bi-214",$A$4:$J$32,3)*VLOOKUP("Bi-214",Doses!$A$1:$O$40,5)*$B57,0)</f>
        <v>0.28707953830823735</v>
      </c>
      <c r="F57" s="127">
        <f>IFERROR(VLOOKUP("Bi-214",$A$4:$J$32,4)*VLOOKUP("Bi-214",Doses!$A$1:$O$40,12)*$B57,0)</f>
        <v>0.69550154179610191</v>
      </c>
      <c r="G57" s="117">
        <f t="shared" si="58"/>
        <v>0.98258108010433931</v>
      </c>
      <c r="H57" s="115">
        <f t="shared" si="53"/>
        <v>1.0621942917404793E-2</v>
      </c>
      <c r="I57" s="116">
        <f t="shared" si="54"/>
        <v>2.5733557046455798E-2</v>
      </c>
      <c r="J57" s="117">
        <f t="shared" si="55"/>
        <v>3.6355499963860588E-2</v>
      </c>
    </row>
    <row r="58" spans="1:10" ht="15">
      <c r="A58" s="113" t="s">
        <v>197</v>
      </c>
      <c r="B58" s="114">
        <v>0.99979000004200003</v>
      </c>
      <c r="C58" s="128"/>
      <c r="D58" s="129"/>
      <c r="E58" s="115">
        <f>IFERROR(VLOOKUP("Po-214",$A$4:$J$32,3)*VLOOKUP("Po-214",Doses!$A$1:$O$40,5)*$B58,0)</f>
        <v>0</v>
      </c>
      <c r="F58" s="127">
        <f>IFERROR(VLOOKUP("Po-214",$A$4:$J$32,4)*VLOOKUP("Po-214",Doses!$A$1:$O$40,12)*$B58,0)</f>
        <v>3.9265510730251051E-5</v>
      </c>
      <c r="G58" s="117">
        <f t="shared" si="58"/>
        <v>3.9265510730251051E-5</v>
      </c>
      <c r="H58" s="115">
        <f t="shared" si="53"/>
        <v>0</v>
      </c>
      <c r="I58" s="116">
        <f t="shared" si="54"/>
        <v>1.4528238970192904E-6</v>
      </c>
      <c r="J58" s="117">
        <f t="shared" si="55"/>
        <v>1.4528238970192904E-6</v>
      </c>
    </row>
    <row r="59" spans="1:10" ht="15">
      <c r="A59" s="113" t="s">
        <v>198</v>
      </c>
      <c r="B59" s="114">
        <v>2.0999995799999999E-4</v>
      </c>
      <c r="C59" s="128"/>
      <c r="D59" s="129"/>
      <c r="E59" s="115">
        <f>IFERROR(VLOOKUP("Tl-210",$A$4:$J$32,3)*VLOOKUP("Tl-210",Doses!$A$1:$O$40,5)*$B59,0)</f>
        <v>0</v>
      </c>
      <c r="F59" s="127">
        <f>IFERROR(VLOOKUP("Tl-210",$A$4:$J$32,4)*VLOOKUP("Tl-210",Doses!$A$1:$O$40,12)*$B59,0)</f>
        <v>2.8178624784011081E-4</v>
      </c>
      <c r="G59" s="117">
        <f t="shared" si="58"/>
        <v>2.8178624784011081E-4</v>
      </c>
      <c r="H59" s="115">
        <f t="shared" si="53"/>
        <v>0</v>
      </c>
      <c r="I59" s="116">
        <f t="shared" si="54"/>
        <v>1.0426091170084111E-5</v>
      </c>
      <c r="J59" s="117">
        <f t="shared" si="55"/>
        <v>1.0426091170084111E-5</v>
      </c>
    </row>
    <row r="60" spans="1:10" ht="15">
      <c r="A60" s="113" t="s">
        <v>199</v>
      </c>
      <c r="B60" s="114">
        <v>1</v>
      </c>
      <c r="C60" s="128"/>
      <c r="D60" s="129"/>
      <c r="E60" s="115">
        <f>IFERROR(VLOOKUP("Pb-210",$A$4:$J$32,3)*VLOOKUP("Pb-210",Doses!$A$1:$O$40,5)*$B60,0)</f>
        <v>1965.242870057984</v>
      </c>
      <c r="F60" s="127">
        <f>IFERROR(VLOOKUP("Pb-210",$A$4:$J$32,4)*VLOOKUP("Pb-210",Doses!$A$1:$O$40,12)*$B60,0)</f>
        <v>3.4642702147680772E-3</v>
      </c>
      <c r="G60" s="117">
        <f t="shared" si="58"/>
        <v>1965.2463343281988</v>
      </c>
      <c r="H60" s="115">
        <f t="shared" si="53"/>
        <v>72.713986192145484</v>
      </c>
      <c r="I60" s="116">
        <f t="shared" si="54"/>
        <v>1.2817799794641899E-4</v>
      </c>
      <c r="J60" s="117">
        <f t="shared" si="55"/>
        <v>72.714114370143434</v>
      </c>
    </row>
    <row r="61" spans="1:10" ht="15">
      <c r="A61" s="113" t="s">
        <v>200</v>
      </c>
      <c r="B61" s="114">
        <v>1</v>
      </c>
      <c r="C61" s="128"/>
      <c r="D61" s="129"/>
      <c r="E61" s="115">
        <f>IFERROR(VLOOKUP("Bi-210",$A$4:$J$32,3)*VLOOKUP("Bi-210",Doses!$A$1:$O$40,5)*$B61,0)</f>
        <v>3.4680756530435009</v>
      </c>
      <c r="F61" s="127">
        <f>IFERROR(VLOOKUP("Bi-210",$A$4:$J$32,4)*VLOOKUP("Bi-210",Doses!$A$1:$O$40,12)*$B61,0)</f>
        <v>2.0921884539801903E-2</v>
      </c>
      <c r="G61" s="117">
        <f t="shared" si="58"/>
        <v>3.4889975375833027</v>
      </c>
      <c r="H61" s="115">
        <f t="shared" ref="H61:H78" si="59">E61/_1_bq</f>
        <v>0.12831879916260966</v>
      </c>
      <c r="I61" s="116">
        <f t="shared" ref="I61:I78" si="60">F61/_1_bq</f>
        <v>7.7410972797267122E-4</v>
      </c>
      <c r="J61" s="117">
        <f t="shared" ref="J61:J78" si="61">G61/_1_bq</f>
        <v>0.12909290889058234</v>
      </c>
    </row>
    <row r="62" spans="1:10" ht="15">
      <c r="A62" s="113" t="s">
        <v>202</v>
      </c>
      <c r="B62" s="114">
        <v>1</v>
      </c>
      <c r="C62" s="128"/>
      <c r="D62" s="129"/>
      <c r="E62" s="115">
        <f>IFERROR(VLOOKUP("Po-210",$A$4:$J$32,3)*VLOOKUP("Po-210",Doses!$A$1:$O$40,5)*$B62,0)</f>
        <v>3371.7402182367368</v>
      </c>
      <c r="F62" s="127">
        <f>IFERROR(VLOOKUP("Po-210",$A$4:$J$32,4)*VLOOKUP("Po-210",Doses!$A$1:$O$40,12)*$B62,0)</f>
        <v>4.601067989432881E-6</v>
      </c>
      <c r="G62" s="117">
        <f>SUM(E62:F62)</f>
        <v>3371.740222837805</v>
      </c>
      <c r="H62" s="115">
        <f t="shared" si="59"/>
        <v>124.75438807475939</v>
      </c>
      <c r="I62" s="116">
        <f t="shared" si="60"/>
        <v>1.7023951560901678E-7</v>
      </c>
      <c r="J62" s="117">
        <f t="shared" si="61"/>
        <v>124.75438824499891</v>
      </c>
    </row>
    <row r="63" spans="1:10" ht="15">
      <c r="A63" s="113" t="s">
        <v>201</v>
      </c>
      <c r="B63" s="114">
        <v>1.9000000000000001E-8</v>
      </c>
      <c r="C63" s="128"/>
      <c r="D63" s="129"/>
      <c r="E63" s="115">
        <f>IFERROR(VLOOKUP("Hg-206",$A$4:$J$32,3)*VLOOKUP("Hg-206",Doses!$A$1:$O$40,5)*$B63,0)</f>
        <v>0</v>
      </c>
      <c r="F63" s="127">
        <f>IFERROR(VLOOKUP("Hg-206",$A$4:$J$32,4)*VLOOKUP("Hg-206",Doses!$A$1:$O$40,12)*$B63,0)</f>
        <v>1.6743791728878587E-9</v>
      </c>
      <c r="G63" s="117">
        <f t="shared" si="58"/>
        <v>1.6743791728878587E-9</v>
      </c>
      <c r="H63" s="115">
        <f t="shared" si="59"/>
        <v>0</v>
      </c>
      <c r="I63" s="116">
        <f t="shared" si="60"/>
        <v>6.1952029396850838E-11</v>
      </c>
      <c r="J63" s="117">
        <f t="shared" si="61"/>
        <v>6.1952029396850838E-11</v>
      </c>
    </row>
    <row r="64" spans="1:10" ht="15.75" thickBot="1">
      <c r="A64" s="113" t="s">
        <v>203</v>
      </c>
      <c r="B64" s="114">
        <v>1.339E-6</v>
      </c>
      <c r="C64" s="128"/>
      <c r="D64" s="129"/>
      <c r="E64" s="122">
        <f>IFERROR(VLOOKUP("Tl-206",$A$4:$J$32,3)*VLOOKUP("Tl-206",Doses!$A$1:$O$40,5)*$B64,0)</f>
        <v>0</v>
      </c>
      <c r="F64" s="123">
        <f>IFERROR(VLOOKUP("Tl-206",$A$4:$J$32,4)*VLOOKUP("Tl-206",Doses!$A$1:$O$40,12)*$B64,0)</f>
        <v>7.5351005126712479E-8</v>
      </c>
      <c r="G64" s="117">
        <f t="shared" si="58"/>
        <v>7.5351005126712479E-8</v>
      </c>
      <c r="H64" s="115">
        <f t="shared" si="59"/>
        <v>0</v>
      </c>
      <c r="I64" s="116">
        <f t="shared" si="60"/>
        <v>2.7879871896883644E-9</v>
      </c>
      <c r="J64" s="117">
        <f t="shared" si="61"/>
        <v>2.7879871896883644E-9</v>
      </c>
    </row>
    <row r="65" spans="1:10" ht="15">
      <c r="A65" s="109" t="s">
        <v>31</v>
      </c>
      <c r="B65" s="109" t="s">
        <v>59</v>
      </c>
      <c r="C65" s="128"/>
      <c r="D65" s="130"/>
      <c r="E65" s="119">
        <f>SUM(E66:E78)</f>
        <v>5341.1215818335977</v>
      </c>
      <c r="F65" s="126">
        <f t="shared" ref="F65" si="62">SUM(F66:F78)</f>
        <v>0.87307816529437365</v>
      </c>
      <c r="G65" s="121">
        <f t="shared" ref="G65" si="63">SUM(G66:G78)</f>
        <v>5341.9946599988916</v>
      </c>
      <c r="H65" s="119">
        <f t="shared" si="59"/>
        <v>197.62149852784333</v>
      </c>
      <c r="I65" s="120">
        <f t="shared" si="60"/>
        <v>3.2303892115891859E-2</v>
      </c>
      <c r="J65" s="121">
        <f t="shared" si="61"/>
        <v>197.65380241995919</v>
      </c>
    </row>
    <row r="66" spans="1:10" ht="15">
      <c r="A66" s="113" t="s">
        <v>191</v>
      </c>
      <c r="B66" s="114">
        <v>1</v>
      </c>
      <c r="C66" s="128"/>
      <c r="D66" s="129"/>
      <c r="E66" s="115">
        <f>IFERROR(VLOOKUP("Rn-222",$A$4:$J$32,3)*VLOOKUP("Rn-222",Doses!$A$1:$O$40,5)*$B66,0)</f>
        <v>0</v>
      </c>
      <c r="F66" s="127">
        <f>IFERROR(VLOOKUP("Rn-222",$A$4:$J$32,4)*VLOOKUP("Rn-222",Doses!$A$1:$O$40,12)*$B66,0)</f>
        <v>1.9165571831133708E-4</v>
      </c>
      <c r="G66" s="117">
        <f t="shared" ref="G66:G67" si="64">SUM(E66:F66)</f>
        <v>1.9165571831133708E-4</v>
      </c>
      <c r="H66" s="115">
        <f t="shared" si="59"/>
        <v>0</v>
      </c>
      <c r="I66" s="116">
        <f t="shared" si="60"/>
        <v>7.0912615775194794E-6</v>
      </c>
      <c r="J66" s="117">
        <f t="shared" si="61"/>
        <v>7.0912615775194794E-6</v>
      </c>
    </row>
    <row r="67" spans="1:10" ht="15">
      <c r="A67" s="113" t="s">
        <v>192</v>
      </c>
      <c r="B67" s="114">
        <v>1</v>
      </c>
      <c r="C67" s="128"/>
      <c r="D67" s="129"/>
      <c r="E67" s="115">
        <f>IFERROR(VLOOKUP("Po-218",$A$4:$J$32,3)*VLOOKUP("Po-218",Doses!$A$1:$O$40,5)*$B67,0)</f>
        <v>0</v>
      </c>
      <c r="F67" s="127">
        <f>IFERROR(VLOOKUP("Po-218",$A$4:$J$32,4)*VLOOKUP("Po-218",Doses!$A$1:$O$40,12)*$B67,0)</f>
        <v>1.3827323811337969E-8</v>
      </c>
      <c r="G67" s="117">
        <f t="shared" si="64"/>
        <v>1.3827323811337969E-8</v>
      </c>
      <c r="H67" s="115">
        <f t="shared" si="59"/>
        <v>0</v>
      </c>
      <c r="I67" s="116">
        <f t="shared" si="60"/>
        <v>5.1161098101950535E-10</v>
      </c>
      <c r="J67" s="117">
        <f t="shared" si="61"/>
        <v>5.1161098101950535E-10</v>
      </c>
    </row>
    <row r="68" spans="1:10" ht="15">
      <c r="A68" s="113" t="s">
        <v>194</v>
      </c>
      <c r="B68" s="114">
        <v>2.0000000000000001E-4</v>
      </c>
      <c r="C68" s="128"/>
      <c r="D68" s="129"/>
      <c r="E68" s="115">
        <f>IFERROR(VLOOKUP("At-218",$A$4:$J$32,3)*VLOOKUP("At-218",Doses!$A$1:$O$40,5)*$B68,0)</f>
        <v>0</v>
      </c>
      <c r="F68" s="127">
        <f>IFERROR(VLOOKUP("At-218",$A$4:$J$32,4)*VLOOKUP("At-218",Doses!$A$1:$O$40,12)*$B68,0)</f>
        <v>5.1982420343375818E-8</v>
      </c>
      <c r="G68" s="117">
        <f>SUM(E68:F68)</f>
        <v>5.1982420343375818E-8</v>
      </c>
      <c r="H68" s="115">
        <f t="shared" si="59"/>
        <v>0</v>
      </c>
      <c r="I68" s="116">
        <f t="shared" si="60"/>
        <v>1.9233495527049073E-9</v>
      </c>
      <c r="J68" s="117">
        <f t="shared" si="61"/>
        <v>1.9233495527049073E-9</v>
      </c>
    </row>
    <row r="69" spans="1:10" ht="15">
      <c r="A69" s="113" t="s">
        <v>196</v>
      </c>
      <c r="B69" s="114">
        <v>1.9999999999999999E-7</v>
      </c>
      <c r="C69" s="128"/>
      <c r="D69" s="129"/>
      <c r="E69" s="115">
        <f>IFERROR(VLOOKUP("Rn-218",$A$4:$J$32,3)*VLOOKUP("Rn-218",Doses!$A$1:$O$40,5)*$B69,0)</f>
        <v>0</v>
      </c>
      <c r="F69" s="127">
        <f>IFERROR(VLOOKUP("Rn-218",$A$4:$J$32,4)*VLOOKUP("Rn-218",Doses!$A$1:$O$40,12)*$B69,0)</f>
        <v>7.4601473149144112E-11</v>
      </c>
      <c r="G69" s="117">
        <f>SUM(E69:F69)</f>
        <v>7.4601473149144112E-11</v>
      </c>
      <c r="H69" s="115">
        <f t="shared" si="59"/>
        <v>0</v>
      </c>
      <c r="I69" s="116">
        <f t="shared" si="60"/>
        <v>2.7602545065183349E-12</v>
      </c>
      <c r="J69" s="117">
        <f t="shared" si="61"/>
        <v>2.7602545065183349E-12</v>
      </c>
    </row>
    <row r="70" spans="1:10" ht="15">
      <c r="A70" s="113" t="s">
        <v>193</v>
      </c>
      <c r="B70" s="114">
        <v>0.99980000000000002</v>
      </c>
      <c r="C70" s="128"/>
      <c r="D70" s="129"/>
      <c r="E70" s="115">
        <f>IFERROR(VLOOKUP("Pb-214",$A$4:$J$32,3)*VLOOKUP("Pb-214",Doses!$A$1:$O$40,5)*$B70,0)</f>
        <v>0.38333834752481422</v>
      </c>
      <c r="F70" s="127">
        <f>IFERROR(VLOOKUP("Pb-214",$A$4:$J$32,4)*VLOOKUP("Pb-214",Doses!$A$1:$O$40,12)*$B70,0)</f>
        <v>0.15267301728910068</v>
      </c>
      <c r="G70" s="117">
        <f t="shared" ref="G70:G75" si="65">SUM(E70:F70)</f>
        <v>0.53601136481391487</v>
      </c>
      <c r="H70" s="115">
        <f t="shared" si="59"/>
        <v>1.418351885841814E-2</v>
      </c>
      <c r="I70" s="116">
        <f t="shared" si="60"/>
        <v>5.6489016396967309E-3</v>
      </c>
      <c r="J70" s="117">
        <f t="shared" si="61"/>
        <v>1.9832420498114869E-2</v>
      </c>
    </row>
    <row r="71" spans="1:10" ht="15">
      <c r="A71" s="113" t="s">
        <v>195</v>
      </c>
      <c r="B71" s="114">
        <v>0.99999979999999999</v>
      </c>
      <c r="C71" s="128"/>
      <c r="D71" s="129"/>
      <c r="E71" s="115">
        <f>IFERROR(VLOOKUP("Bi-214",$A$4:$J$32,3)*VLOOKUP("Bi-214",Doses!$A$1:$O$40,5)*$B71,0)</f>
        <v>0.28707953830823735</v>
      </c>
      <c r="F71" s="127">
        <f>IFERROR(VLOOKUP("Bi-214",$A$4:$J$32,4)*VLOOKUP("Bi-214",Doses!$A$1:$O$40,12)*$B71,0)</f>
        <v>0.69550154179610191</v>
      </c>
      <c r="G71" s="117">
        <f t="shared" si="65"/>
        <v>0.98258108010433931</v>
      </c>
      <c r="H71" s="115">
        <f t="shared" si="59"/>
        <v>1.0621942917404793E-2</v>
      </c>
      <c r="I71" s="116">
        <f t="shared" si="60"/>
        <v>2.5733557046455798E-2</v>
      </c>
      <c r="J71" s="117">
        <f t="shared" si="61"/>
        <v>3.6355499963860588E-2</v>
      </c>
    </row>
    <row r="72" spans="1:10" ht="15">
      <c r="A72" s="113" t="s">
        <v>197</v>
      </c>
      <c r="B72" s="114">
        <v>0.99979000004200003</v>
      </c>
      <c r="C72" s="128"/>
      <c r="D72" s="129"/>
      <c r="E72" s="115">
        <f>IFERROR(VLOOKUP("Po-214",$A$4:$J$32,3)*VLOOKUP("Po-214",Doses!$A$1:$O$40,5)*$B72,0)</f>
        <v>0</v>
      </c>
      <c r="F72" s="127">
        <f>IFERROR(VLOOKUP("Po-214",$A$4:$J$32,4)*VLOOKUP("Po-214",Doses!$A$1:$O$40,12)*$B72,0)</f>
        <v>3.9265510730251051E-5</v>
      </c>
      <c r="G72" s="117">
        <f t="shared" si="65"/>
        <v>3.9265510730251051E-5</v>
      </c>
      <c r="H72" s="115">
        <f t="shared" si="59"/>
        <v>0</v>
      </c>
      <c r="I72" s="116">
        <f t="shared" si="60"/>
        <v>1.4528238970192904E-6</v>
      </c>
      <c r="J72" s="117">
        <f t="shared" si="61"/>
        <v>1.4528238970192904E-6</v>
      </c>
    </row>
    <row r="73" spans="1:10" ht="15">
      <c r="A73" s="113" t="s">
        <v>198</v>
      </c>
      <c r="B73" s="114">
        <v>2.0999995799999999E-4</v>
      </c>
      <c r="C73" s="128"/>
      <c r="D73" s="129"/>
      <c r="E73" s="115">
        <f>IFERROR(VLOOKUP("Tl-210",$A$4:$J$32,3)*VLOOKUP("Tl-210",Doses!$A$1:$O$40,5)*$B73,0)</f>
        <v>0</v>
      </c>
      <c r="F73" s="127">
        <f>IFERROR(VLOOKUP("Tl-210",$A$4:$J$32,4)*VLOOKUP("Tl-210",Doses!$A$1:$O$40,12)*$B73,0)</f>
        <v>2.8178624784011081E-4</v>
      </c>
      <c r="G73" s="117">
        <f t="shared" si="65"/>
        <v>2.8178624784011081E-4</v>
      </c>
      <c r="H73" s="115">
        <f t="shared" si="59"/>
        <v>0</v>
      </c>
      <c r="I73" s="116">
        <f t="shared" si="60"/>
        <v>1.0426091170084111E-5</v>
      </c>
      <c r="J73" s="117">
        <f t="shared" si="61"/>
        <v>1.0426091170084111E-5</v>
      </c>
    </row>
    <row r="74" spans="1:10" ht="15">
      <c r="A74" s="113" t="s">
        <v>199</v>
      </c>
      <c r="B74" s="114">
        <v>1</v>
      </c>
      <c r="C74" s="128"/>
      <c r="D74" s="129"/>
      <c r="E74" s="115">
        <f>IFERROR(VLOOKUP("Pb-210",$A$4:$J$32,3)*VLOOKUP("Pb-210",Doses!$A$1:$O$40,5)*$B74,0)</f>
        <v>1965.242870057984</v>
      </c>
      <c r="F74" s="127">
        <f>IFERROR(VLOOKUP("Pb-210",$A$4:$J$32,4)*VLOOKUP("Pb-210",Doses!$A$1:$O$40,12)*$B74,0)</f>
        <v>3.4642702147680772E-3</v>
      </c>
      <c r="G74" s="117">
        <f t="shared" si="65"/>
        <v>1965.2463343281988</v>
      </c>
      <c r="H74" s="115">
        <f t="shared" si="59"/>
        <v>72.713986192145484</v>
      </c>
      <c r="I74" s="116">
        <f t="shared" si="60"/>
        <v>1.2817799794641899E-4</v>
      </c>
      <c r="J74" s="117">
        <f t="shared" si="61"/>
        <v>72.714114370143434</v>
      </c>
    </row>
    <row r="75" spans="1:10" ht="15">
      <c r="A75" s="113" t="s">
        <v>200</v>
      </c>
      <c r="B75" s="114">
        <v>1</v>
      </c>
      <c r="C75" s="128"/>
      <c r="D75" s="129"/>
      <c r="E75" s="115">
        <f>IFERROR(VLOOKUP("Bi-210",$A$4:$J$32,3)*VLOOKUP("Bi-210",Doses!$A$1:$O$40,5)*$B75,0)</f>
        <v>3.4680756530435009</v>
      </c>
      <c r="F75" s="127">
        <f>IFERROR(VLOOKUP("Bi-210",$A$4:$J$32,4)*VLOOKUP("Bi-210",Doses!$A$1:$O$40,12)*$B75,0)</f>
        <v>2.0921884539801903E-2</v>
      </c>
      <c r="G75" s="117">
        <f t="shared" si="65"/>
        <v>3.4889975375833027</v>
      </c>
      <c r="H75" s="115">
        <f t="shared" si="59"/>
        <v>0.12831879916260966</v>
      </c>
      <c r="I75" s="116">
        <f t="shared" si="60"/>
        <v>7.7410972797267122E-4</v>
      </c>
      <c r="J75" s="117">
        <f t="shared" si="61"/>
        <v>0.12909290889058234</v>
      </c>
    </row>
    <row r="76" spans="1:10" ht="15">
      <c r="A76" s="113" t="s">
        <v>202</v>
      </c>
      <c r="B76" s="114">
        <v>1</v>
      </c>
      <c r="C76" s="128"/>
      <c r="D76" s="129"/>
      <c r="E76" s="115">
        <f>IFERROR(VLOOKUP("Po-210",$A$4:$J$32,3)*VLOOKUP("Po-210",Doses!$A$1:$O$40,5)*$B76,0)</f>
        <v>3371.7402182367368</v>
      </c>
      <c r="F76" s="127">
        <f>IFERROR(VLOOKUP("Po-210",$A$4:$J$32,4)*VLOOKUP("Po-210",Doses!$A$1:$O$40,12)*$B76,0)</f>
        <v>4.601067989432881E-6</v>
      </c>
      <c r="G76" s="117">
        <f>SUM(E76:F76)</f>
        <v>3371.740222837805</v>
      </c>
      <c r="H76" s="115">
        <f t="shared" si="59"/>
        <v>124.75438807475939</v>
      </c>
      <c r="I76" s="116">
        <f t="shared" si="60"/>
        <v>1.7023951560901678E-7</v>
      </c>
      <c r="J76" s="117">
        <f t="shared" si="61"/>
        <v>124.75438824499891</v>
      </c>
    </row>
    <row r="77" spans="1:10" ht="15">
      <c r="A77" s="113" t="s">
        <v>201</v>
      </c>
      <c r="B77" s="114">
        <v>1.9000000000000001E-8</v>
      </c>
      <c r="C77" s="128"/>
      <c r="D77" s="129"/>
      <c r="E77" s="115">
        <f>IFERROR(VLOOKUP("Hg-206",$A$4:$J$32,3)*VLOOKUP("Hg-206",Doses!$A$1:$O$40,5)*$B77,0)</f>
        <v>0</v>
      </c>
      <c r="F77" s="127">
        <f>IFERROR(VLOOKUP("Hg-206",$A$4:$J$32,4)*VLOOKUP("Hg-206",Doses!$A$1:$O$40,12)*$B77,0)</f>
        <v>1.6743791728878587E-9</v>
      </c>
      <c r="G77" s="117">
        <f t="shared" ref="G77:G78" si="66">SUM(E77:F77)</f>
        <v>1.6743791728878587E-9</v>
      </c>
      <c r="H77" s="115">
        <f t="shared" si="59"/>
        <v>0</v>
      </c>
      <c r="I77" s="116">
        <f t="shared" si="60"/>
        <v>6.1952029396850838E-11</v>
      </c>
      <c r="J77" s="117">
        <f t="shared" si="61"/>
        <v>6.1952029396850838E-11</v>
      </c>
    </row>
    <row r="78" spans="1:10" ht="15.75" thickBot="1">
      <c r="A78" s="113" t="s">
        <v>203</v>
      </c>
      <c r="B78" s="114">
        <v>1.339E-6</v>
      </c>
      <c r="C78" s="128"/>
      <c r="D78" s="129"/>
      <c r="E78" s="122">
        <f>IFERROR(VLOOKUP("Tl-206",$A$4:$J$32,3)*VLOOKUP("Tl-206",Doses!$A$1:$O$40,5)*$B78,0)</f>
        <v>0</v>
      </c>
      <c r="F78" s="123">
        <f>IFERROR(VLOOKUP("Tl-206",$A$4:$J$32,4)*VLOOKUP("Tl-206",Doses!$A$1:$O$40,12)*$B78,0)</f>
        <v>7.5351005126712479E-8</v>
      </c>
      <c r="G78" s="117">
        <f t="shared" si="66"/>
        <v>7.5351005126712479E-8</v>
      </c>
      <c r="H78" s="115">
        <f t="shared" si="59"/>
        <v>0</v>
      </c>
      <c r="I78" s="116">
        <f t="shared" si="60"/>
        <v>2.7879871896883644E-9</v>
      </c>
      <c r="J78" s="117">
        <f t="shared" si="61"/>
        <v>2.7879871896883644E-9</v>
      </c>
    </row>
  </sheetData>
  <sheetProtection algorithmName="SHA-512" hashValue="UXuMLvl/bhSa0ZkIMdGrO0zY5qeDtnOZlSEaV2ZISJN1p8dOHYnCZJPOAe3uzs9LHLttR5lt7jtvwXDf4rU5Pw==" saltValue="HI86/c+zTDApO+dq9MOe8w==" spinCount="100000" sheet="1" formatCells="0" formatColumns="0" formatRows="0" insertColumns="0" insertRows="0" autoFilter="0"/>
  <autoFilter ref="A2:J78" xr:uid="{00000000-0009-0000-0000-000011000000}"/>
  <mergeCells count="3">
    <mergeCell ref="E1:G1"/>
    <mergeCell ref="H1:J1"/>
    <mergeCell ref="C1:D1"/>
  </mergeCells>
  <pageMargins left="0.7" right="0.7" top="0.75" bottom="0.75" header="0.3" footer="0.3"/>
  <pageSetup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4" width="12" style="22" customWidth="1"/>
    <col min="5" max="5" width="12.28515625" style="22" bestFit="1" customWidth="1"/>
    <col min="6" max="6" width="12.85546875" style="22" bestFit="1" customWidth="1"/>
    <col min="7" max="7" width="12" style="22" bestFit="1" customWidth="1"/>
    <col min="8" max="8" width="12.28515625" style="22" bestFit="1" customWidth="1"/>
    <col min="9" max="9" width="12.85546875" style="22" bestFit="1" customWidth="1"/>
    <col min="10" max="10" width="12" style="22" bestFit="1" customWidth="1"/>
  </cols>
  <sheetData>
    <row r="1" spans="1:10" ht="13.5" thickBot="1">
      <c r="C1" s="153" t="s">
        <v>274</v>
      </c>
      <c r="D1" s="154"/>
      <c r="E1" s="149" t="s">
        <v>61</v>
      </c>
      <c r="F1" s="149"/>
      <c r="G1" s="150"/>
      <c r="H1" s="149" t="s">
        <v>138</v>
      </c>
      <c r="I1" s="149"/>
      <c r="J1" s="150"/>
    </row>
    <row r="2" spans="1:10">
      <c r="A2" s="11" t="s">
        <v>0</v>
      </c>
      <c r="B2" s="11" t="s">
        <v>43</v>
      </c>
      <c r="C2" s="96" t="s">
        <v>267</v>
      </c>
      <c r="D2" s="97" t="s">
        <v>268</v>
      </c>
      <c r="E2" s="35" t="s">
        <v>205</v>
      </c>
      <c r="F2" s="36" t="s">
        <v>206</v>
      </c>
      <c r="G2" s="37" t="s">
        <v>207</v>
      </c>
      <c r="H2" s="36" t="s">
        <v>205</v>
      </c>
      <c r="I2" s="36" t="s">
        <v>206</v>
      </c>
      <c r="J2" s="38" t="s">
        <v>207</v>
      </c>
    </row>
    <row r="3" spans="1:10" ht="13.5" thickBot="1">
      <c r="B3" s="26" t="s">
        <v>44</v>
      </c>
      <c r="C3" s="98" t="s">
        <v>265</v>
      </c>
      <c r="D3" s="99" t="s">
        <v>265</v>
      </c>
      <c r="E3" s="27" t="s">
        <v>143</v>
      </c>
      <c r="F3" s="28" t="s">
        <v>143</v>
      </c>
      <c r="G3" s="29" t="s">
        <v>143</v>
      </c>
      <c r="H3" s="28" t="s">
        <v>144</v>
      </c>
      <c r="I3" s="28" t="s">
        <v>144</v>
      </c>
      <c r="J3" s="39" t="s">
        <v>144</v>
      </c>
    </row>
    <row r="4" spans="1:10">
      <c r="A4" s="87" t="s">
        <v>23</v>
      </c>
      <c r="B4" s="12" t="s">
        <v>59</v>
      </c>
      <c r="C4" s="132">
        <f t="shared" ref="C4:C5" si="0">s_C*s_IFAres_adj*s_Fin*s_Fi</f>
        <v>2005.208333333333</v>
      </c>
      <c r="D4" s="132">
        <f t="shared" ref="D4:D5" si="1">s_C*s_EFres*(1/365)*s_ETres*(1/24)*s_GSFa*s_Fin*s_Fi</f>
        <v>0.3139269406392694</v>
      </c>
      <c r="E4" s="2">
        <f>C4*Doses!H2</f>
        <v>68.10890624999999</v>
      </c>
      <c r="F4" s="3">
        <f>D4*Doses!J2</f>
        <v>2.0746780397260273E-5</v>
      </c>
      <c r="G4" s="108">
        <f>SUM((C4*Doses!H2),(D4*Doses!J2))</f>
        <v>68.108926996780383</v>
      </c>
      <c r="H4" s="3">
        <f t="shared" ref="H4" si="2">IFERROR(E4/_1_bq,".")</f>
        <v>2.5200295312500023</v>
      </c>
      <c r="I4" s="3">
        <f t="shared" ref="I4" si="3">IFERROR(F4/_1_bq,".")</f>
        <v>7.6763087469863091E-7</v>
      </c>
      <c r="J4" s="4">
        <f t="shared" ref="J4" si="4">IFERROR(G4/_1_bq,".")</f>
        <v>2.5200302988808767</v>
      </c>
    </row>
    <row r="5" spans="1:10">
      <c r="A5" s="88" t="s">
        <v>14</v>
      </c>
      <c r="B5" s="12" t="s">
        <v>44</v>
      </c>
      <c r="C5" s="132">
        <f t="shared" si="0"/>
        <v>2005.208333333333</v>
      </c>
      <c r="D5" s="132">
        <f t="shared" si="1"/>
        <v>0.3139269406392694</v>
      </c>
      <c r="E5" s="2">
        <f>C5*Doses!H3</f>
        <v>727.83046874999991</v>
      </c>
      <c r="F5" s="3">
        <f>D5*Doses!J3</f>
        <v>2.4632219835616437E-5</v>
      </c>
      <c r="G5" s="108">
        <f>SUM((C5*Doses!H3),(D5*Doses!J3))</f>
        <v>727.83049338221974</v>
      </c>
      <c r="H5" s="3">
        <f t="shared" ref="H5" si="5">IFERROR(E5/_1_bq,".")</f>
        <v>26.929727343750024</v>
      </c>
      <c r="I5" s="3">
        <f t="shared" ref="I5" si="6">IFERROR(F5/_1_bq,".")</f>
        <v>9.1139213391780913E-7</v>
      </c>
      <c r="J5" s="4">
        <f t="shared" ref="J5" si="7">IFERROR(G5/_1_bq,".")</f>
        <v>26.929728255142159</v>
      </c>
    </row>
    <row r="6" spans="1:10">
      <c r="A6" s="87" t="s">
        <v>15</v>
      </c>
      <c r="B6" s="12" t="s">
        <v>59</v>
      </c>
      <c r="C6" s="132">
        <f t="shared" ref="C6:C8" si="8">s_C*s_IFAres_adj*s_Fin*s_Fi</f>
        <v>2005.208333333333</v>
      </c>
      <c r="D6" s="132">
        <f t="shared" ref="D6:D8" si="9">s_C*s_EFres*(1/365)*s_ETres*(1/24)*s_GSFa*s_Fin*s_Fi</f>
        <v>0.3139269406392694</v>
      </c>
      <c r="E6" s="2">
        <f>C6*Doses!H4</f>
        <v>0</v>
      </c>
      <c r="F6" s="3">
        <f>D6*Doses!J4</f>
        <v>3.8854394383561645E-7</v>
      </c>
      <c r="G6" s="108">
        <f>SUM((C6*Doses!H4),(D6*Doses!J4))</f>
        <v>3.8854394383561645E-7</v>
      </c>
      <c r="H6" s="3">
        <f t="shared" ref="H6:J9" si="10">IFERROR(E6/_1_bq,".")</f>
        <v>0</v>
      </c>
      <c r="I6" s="3">
        <f t="shared" si="10"/>
        <v>1.4376125921917822E-8</v>
      </c>
      <c r="J6" s="4">
        <f t="shared" si="10"/>
        <v>1.4376125921917822E-8</v>
      </c>
    </row>
    <row r="7" spans="1:10">
      <c r="A7" s="87" t="s">
        <v>16</v>
      </c>
      <c r="B7" s="89" t="s">
        <v>59</v>
      </c>
      <c r="C7" s="132">
        <f t="shared" si="8"/>
        <v>2005.208333333333</v>
      </c>
      <c r="D7" s="132">
        <f t="shared" si="9"/>
        <v>0.3139269406392694</v>
      </c>
      <c r="E7" s="2">
        <f>C7*Doses!H5</f>
        <v>0</v>
      </c>
      <c r="F7" s="3">
        <f>D7*Doses!J5</f>
        <v>3.5921987260273976E-8</v>
      </c>
      <c r="G7" s="108">
        <f>SUM((C7*Doses!H5),(D7*Doses!J5))</f>
        <v>3.5921987260273976E-8</v>
      </c>
      <c r="H7" s="3">
        <f t="shared" si="10"/>
        <v>0</v>
      </c>
      <c r="I7" s="3">
        <f t="shared" si="10"/>
        <v>1.3291135286301384E-9</v>
      </c>
      <c r="J7" s="4">
        <f t="shared" si="10"/>
        <v>1.3291135286301384E-9</v>
      </c>
    </row>
    <row r="8" spans="1:10">
      <c r="A8" s="87" t="s">
        <v>18</v>
      </c>
      <c r="B8" s="12" t="s">
        <v>59</v>
      </c>
      <c r="C8" s="132">
        <f t="shared" si="8"/>
        <v>2005.208333333333</v>
      </c>
      <c r="D8" s="132">
        <f t="shared" si="9"/>
        <v>0.3139269406392694</v>
      </c>
      <c r="E8" s="2">
        <f>C8*Doses!H6</f>
        <v>0</v>
      </c>
      <c r="F8" s="3">
        <f>D8*Doses!J6</f>
        <v>9.8602189520547953E-4</v>
      </c>
      <c r="G8" s="108">
        <f>SUM((C8*Doses!H6),(D8*Doses!J6))</f>
        <v>9.8602189520547953E-4</v>
      </c>
      <c r="H8" s="3">
        <f t="shared" si="10"/>
        <v>0</v>
      </c>
      <c r="I8" s="3">
        <f t="shared" si="10"/>
        <v>3.6482810122602777E-5</v>
      </c>
      <c r="J8" s="4">
        <f t="shared" si="10"/>
        <v>3.6482810122602777E-5</v>
      </c>
    </row>
    <row r="9" spans="1:10">
      <c r="A9" s="87" t="s">
        <v>19</v>
      </c>
      <c r="B9" s="90" t="s">
        <v>59</v>
      </c>
      <c r="C9" s="132">
        <f t="shared" ref="C9:C11" si="11">s_C*s_IFAres_adj*s_Fin*s_Fi</f>
        <v>2005.208333333333</v>
      </c>
      <c r="D9" s="132">
        <f t="shared" ref="D9:D11" si="12">s_C*s_EFres*(1/365)*s_ETres*(1/24)*s_GSFa*s_Fin*s_Fi</f>
        <v>0.3139269406392694</v>
      </c>
      <c r="E9" s="2">
        <f>C9*Doses!H7</f>
        <v>1.0832135416666666</v>
      </c>
      <c r="F9" s="3">
        <f>D9*Doses!J7</f>
        <v>9.4570129726027396E-6</v>
      </c>
      <c r="G9" s="108">
        <f>SUM((C9*Doses!H7),(D9*Doses!J7))</f>
        <v>1.0832229986796391</v>
      </c>
      <c r="H9" s="3">
        <f t="shared" si="10"/>
        <v>4.0078901041666705E-2</v>
      </c>
      <c r="I9" s="3">
        <f t="shared" si="10"/>
        <v>3.4990947998630174E-7</v>
      </c>
      <c r="J9" s="4">
        <f t="shared" si="10"/>
        <v>4.0079250951146686E-2</v>
      </c>
    </row>
    <row r="10" spans="1:10">
      <c r="A10" s="87" t="s">
        <v>20</v>
      </c>
      <c r="B10" s="12" t="s">
        <v>59</v>
      </c>
      <c r="C10" s="132">
        <f t="shared" si="11"/>
        <v>2005.208333333333</v>
      </c>
      <c r="D10" s="132">
        <f t="shared" si="12"/>
        <v>0.3139269406392694</v>
      </c>
      <c r="E10" s="2">
        <f>C10*Doses!H8</f>
        <v>0.26338411458333327</v>
      </c>
      <c r="F10" s="3">
        <f>D10*Doses!J8</f>
        <v>2.1773122890410959E-4</v>
      </c>
      <c r="G10" s="108">
        <f>SUM((C10*Doses!H8),(D10*Doses!J8))</f>
        <v>0.26360184581223739</v>
      </c>
      <c r="H10" s="3">
        <f t="shared" ref="H10:H11" si="13">IFERROR(E10/_1_bq,".")</f>
        <v>9.7452122395833406E-3</v>
      </c>
      <c r="I10" s="3">
        <f t="shared" ref="I10:I11" si="14">IFERROR(F10/_1_bq,".")</f>
        <v>8.056055469452064E-6</v>
      </c>
      <c r="J10" s="4">
        <f t="shared" ref="J10:J11" si="15">IFERROR(G10/_1_bq,".")</f>
        <v>9.7532682950527937E-3</v>
      </c>
    </row>
    <row r="11" spans="1:10">
      <c r="A11" s="87" t="s">
        <v>21</v>
      </c>
      <c r="B11" s="90" t="s">
        <v>59</v>
      </c>
      <c r="C11" s="132">
        <f t="shared" si="11"/>
        <v>2005.208333333333</v>
      </c>
      <c r="D11" s="132">
        <f t="shared" si="12"/>
        <v>0.3139269406392694</v>
      </c>
      <c r="E11" s="2">
        <f>C11*Doses!H9</f>
        <v>7.3390624999999987E-2</v>
      </c>
      <c r="F11" s="3">
        <f>D11*Doses!J9</f>
        <v>2.6061768308219178E-3</v>
      </c>
      <c r="G11" s="108">
        <f>SUM((C11*Doses!H9),(D11*Doses!J9))</f>
        <v>7.59968018308219E-2</v>
      </c>
      <c r="H11" s="3">
        <f t="shared" si="13"/>
        <v>2.7154531250000022E-3</v>
      </c>
      <c r="I11" s="3">
        <f t="shared" si="14"/>
        <v>9.642854274041105E-5</v>
      </c>
      <c r="J11" s="4">
        <f t="shared" si="15"/>
        <v>2.8118816677404133E-3</v>
      </c>
    </row>
    <row r="12" spans="1:10">
      <c r="A12" s="88" t="s">
        <v>17</v>
      </c>
      <c r="B12" s="12" t="s">
        <v>44</v>
      </c>
      <c r="C12" s="132">
        <f t="shared" ref="C12" si="16">s_C*s_IFAres_adj*s_Fin*s_Fi</f>
        <v>2005.208333333333</v>
      </c>
      <c r="D12" s="132">
        <f t="shared" ref="D12" si="17">s_C*s_EFres*(1/365)*s_ETres*(1/24)*s_GSFa*s_Fin*s_Fi</f>
        <v>0.3139269406392694</v>
      </c>
      <c r="E12" s="2">
        <f>C12*Doses!H10</f>
        <v>0.30938359374999991</v>
      </c>
      <c r="F12" s="3">
        <f>D12*Doses!J10</f>
        <v>3.4455783698630134E-6</v>
      </c>
      <c r="G12" s="108">
        <f>SUM((C12*Doses!H10),(D12*Doses!J10))</f>
        <v>0.30938703932836975</v>
      </c>
      <c r="H12" s="3">
        <f t="shared" ref="H12" si="18">IFERROR(E12/_1_bq,".")</f>
        <v>1.1447192968750007E-2</v>
      </c>
      <c r="I12" s="3">
        <f t="shared" ref="I12" si="19">IFERROR(F12/_1_bq,".")</f>
        <v>1.2748639968493162E-7</v>
      </c>
      <c r="J12" s="4">
        <f t="shared" ref="J12" si="20">IFERROR(G12/_1_bq,".")</f>
        <v>1.1447320455149693E-2</v>
      </c>
    </row>
    <row r="13" spans="1:10">
      <c r="A13" s="87" t="s">
        <v>24</v>
      </c>
      <c r="B13" s="12" t="s">
        <v>59</v>
      </c>
      <c r="C13" s="132">
        <f t="shared" ref="C13" si="21">s_C*s_IFAres_adj*s_Fin*s_Fi</f>
        <v>2005.208333333333</v>
      </c>
      <c r="D13" s="132">
        <f t="shared" ref="D13" si="22">s_C*s_EFres*(1/365)*s_ETres*(1/24)*s_GSFa*s_Fin*s_Fi</f>
        <v>0.3139269406392694</v>
      </c>
      <c r="E13" s="2">
        <f>C13*Doses!H11</f>
        <v>0</v>
      </c>
      <c r="F13" s="3">
        <f>D13*Doses!J11</f>
        <v>4.581886130136986E-5</v>
      </c>
      <c r="G13" s="108">
        <f>SUM((C13*Doses!H11),(D13*Doses!J11))</f>
        <v>4.581886130136986E-5</v>
      </c>
      <c r="H13" s="3">
        <f t="shared" ref="H13" si="23">IFERROR(E13/_1_bq,".")</f>
        <v>0</v>
      </c>
      <c r="I13" s="3">
        <f t="shared" ref="I13" si="24">IFERROR(F13/_1_bq,".")</f>
        <v>1.6952978681506865E-6</v>
      </c>
      <c r="J13" s="4">
        <f t="shared" ref="J13" si="25">IFERROR(G13/_1_bq,".")</f>
        <v>1.6952978681506865E-6</v>
      </c>
    </row>
    <row r="14" spans="1:10">
      <c r="A14" s="87" t="s">
        <v>22</v>
      </c>
      <c r="B14" s="89" t="s">
        <v>59</v>
      </c>
      <c r="C14" s="132">
        <f t="shared" ref="C14" si="26">s_C*s_IFAres_adj*s_Fin*s_Fi</f>
        <v>2005.208333333333</v>
      </c>
      <c r="D14" s="132">
        <f t="shared" ref="D14" si="27">s_C*s_EFres*(1/365)*s_ETres*(1/24)*s_GSFa*s_Fin*s_Fi</f>
        <v>0.3139269406392694</v>
      </c>
      <c r="E14" s="2">
        <f>C14*Doses!H12</f>
        <v>0</v>
      </c>
      <c r="F14" s="3">
        <f>D14*Doses!J12</f>
        <v>2.0380229506849313E-4</v>
      </c>
      <c r="G14" s="108">
        <f>SUM((C14*Doses!H12),(D14*Doses!J12))</f>
        <v>2.0380229506849313E-4</v>
      </c>
      <c r="H14" s="3">
        <f t="shared" ref="H14:J14" si="28">IFERROR(E14/_1_bq,".")</f>
        <v>0</v>
      </c>
      <c r="I14" s="3">
        <f t="shared" si="28"/>
        <v>7.5406849175342532E-6</v>
      </c>
      <c r="J14" s="4">
        <f t="shared" si="28"/>
        <v>7.5406849175342532E-6</v>
      </c>
    </row>
    <row r="15" spans="1:10">
      <c r="A15" s="87" t="s">
        <v>28</v>
      </c>
      <c r="B15" s="12" t="s">
        <v>59</v>
      </c>
      <c r="C15" s="132">
        <f t="shared" ref="C15:C16" si="29">s_C*s_IFAres_adj*s_Fin*s_Fi</f>
        <v>2005.208333333333</v>
      </c>
      <c r="D15" s="132">
        <f t="shared" ref="D15:D16" si="30">s_C*s_EFres*(1/365)*s_ETres*(1/24)*s_GSFa*s_Fin*s_Fi</f>
        <v>0.3139269406392694</v>
      </c>
      <c r="E15" s="2">
        <f>C15*Doses!H13</f>
        <v>93.482812499999994</v>
      </c>
      <c r="F15" s="3">
        <f>D15*Doses!J13</f>
        <v>3.1523376575342465E-5</v>
      </c>
      <c r="G15" s="108">
        <f>SUM((C15*Doses!H13),(D15*Doses!J13))</f>
        <v>93.482844023376572</v>
      </c>
      <c r="H15" s="3">
        <f t="shared" ref="H15" si="31">IFERROR(E15/_1_bq,".")</f>
        <v>3.4588640625000031</v>
      </c>
      <c r="I15" s="3">
        <f t="shared" ref="I15" si="32">IFERROR(F15/_1_bq,".")</f>
        <v>1.1663649332876724E-6</v>
      </c>
      <c r="J15" s="4">
        <f t="shared" ref="J15" si="33">IFERROR(G15/_1_bq,".")</f>
        <v>3.4588652288649366</v>
      </c>
    </row>
    <row r="16" spans="1:10">
      <c r="A16" s="87" t="s">
        <v>29</v>
      </c>
      <c r="B16" s="12" t="s">
        <v>59</v>
      </c>
      <c r="C16" s="132">
        <f t="shared" si="29"/>
        <v>2005.208333333333</v>
      </c>
      <c r="D16" s="132">
        <f t="shared" si="30"/>
        <v>0.3139269406392694</v>
      </c>
      <c r="E16" s="2">
        <f>C16*Doses!H14</f>
        <v>3.3831874999999997E-2</v>
      </c>
      <c r="F16" s="3">
        <f>D16*Doses!J14</f>
        <v>3.3979267541095893E-4</v>
      </c>
      <c r="G16" s="108">
        <f>SUM((C16*Doses!H14),(D16*Doses!J14))</f>
        <v>3.4171667675410959E-2</v>
      </c>
      <c r="H16" s="3">
        <f t="shared" ref="H16:J19" si="34">IFERROR(E16/_1_bq,".")</f>
        <v>1.2517793750000013E-3</v>
      </c>
      <c r="I16" s="3">
        <f t="shared" si="34"/>
        <v>1.2572328990205493E-5</v>
      </c>
      <c r="J16" s="4">
        <f t="shared" si="34"/>
        <v>1.2643517039902068E-3</v>
      </c>
    </row>
    <row r="17" spans="1:10">
      <c r="A17" s="87" t="s">
        <v>32</v>
      </c>
      <c r="B17" s="12" t="s">
        <v>59</v>
      </c>
      <c r="C17" s="132">
        <f t="shared" ref="C17:C23" si="35">s_C*s_IFAres_adj*s_Fin*s_Fi</f>
        <v>2005.208333333333</v>
      </c>
      <c r="D17" s="132">
        <f t="shared" ref="D17:D23" si="36">s_C*s_EFres*(1/365)*s_ETres*(1/24)*s_GSFa*s_Fin*s_Fi</f>
        <v>0.3139269406392694</v>
      </c>
      <c r="E17" s="2">
        <f>C17*Doses!H15</f>
        <v>5.1786510416666656E-4</v>
      </c>
      <c r="F17" s="3">
        <f>D17*Doses!J15</f>
        <v>3.6655089041095891E-6</v>
      </c>
      <c r="G17" s="108">
        <f>SUM((C17*Doses!H15),(D17*Doses!J15))</f>
        <v>5.215306130707762E-4</v>
      </c>
      <c r="H17" s="3">
        <f t="shared" si="34"/>
        <v>1.9161008854166683E-5</v>
      </c>
      <c r="I17" s="3">
        <f t="shared" si="34"/>
        <v>1.3562382945205493E-7</v>
      </c>
      <c r="J17" s="4">
        <f t="shared" si="34"/>
        <v>1.9296632683618738E-5</v>
      </c>
    </row>
    <row r="18" spans="1:10">
      <c r="A18" s="87" t="s">
        <v>33</v>
      </c>
      <c r="B18" s="90" t="s">
        <v>59</v>
      </c>
      <c r="C18" s="132">
        <f t="shared" si="35"/>
        <v>2005.208333333333</v>
      </c>
      <c r="D18" s="132">
        <f t="shared" si="36"/>
        <v>0.3139269406392694</v>
      </c>
      <c r="E18" s="2">
        <f>C18*Doses!H16</f>
        <v>44.738203124999998</v>
      </c>
      <c r="F18" s="3">
        <f>D18*Doses!J16</f>
        <v>1.7264546938356166E-6</v>
      </c>
      <c r="G18" s="108">
        <f>SUM((C18*Doses!H16),(D18*Doses!J16))</f>
        <v>44.73820485145469</v>
      </c>
      <c r="H18" s="3">
        <f t="shared" si="34"/>
        <v>1.6553135156250016</v>
      </c>
      <c r="I18" s="3">
        <f t="shared" si="34"/>
        <v>6.3878823671917877E-8</v>
      </c>
      <c r="J18" s="4">
        <f t="shared" si="34"/>
        <v>1.6553135795038252</v>
      </c>
    </row>
    <row r="19" spans="1:10">
      <c r="A19" s="87" t="s">
        <v>34</v>
      </c>
      <c r="B19" s="90" t="s">
        <v>59</v>
      </c>
      <c r="C19" s="132">
        <f t="shared" si="35"/>
        <v>2005.208333333333</v>
      </c>
      <c r="D19" s="132">
        <f t="shared" si="36"/>
        <v>0.3139269406392694</v>
      </c>
      <c r="E19" s="2">
        <f>C19*Doses!H17</f>
        <v>9.3442708333333319E-2</v>
      </c>
      <c r="F19" s="3">
        <f>D19*Doses!J17</f>
        <v>4.0687148835616437E-4</v>
      </c>
      <c r="G19" s="108">
        <f>SUM((C19*Doses!H17),(D19*Doses!J17))</f>
        <v>9.3849579821689483E-2</v>
      </c>
      <c r="H19" s="3">
        <f t="shared" si="34"/>
        <v>3.4573802083333362E-3</v>
      </c>
      <c r="I19" s="3">
        <f t="shared" si="34"/>
        <v>1.5054245069178098E-5</v>
      </c>
      <c r="J19" s="4">
        <f t="shared" si="34"/>
        <v>3.4724344534025143E-3</v>
      </c>
    </row>
    <row r="20" spans="1:10">
      <c r="A20" s="87" t="s">
        <v>36</v>
      </c>
      <c r="B20" s="90" t="s">
        <v>59</v>
      </c>
      <c r="C20" s="132">
        <f t="shared" si="35"/>
        <v>2005.208333333333</v>
      </c>
      <c r="D20" s="132">
        <f t="shared" si="36"/>
        <v>0.3139269406392694</v>
      </c>
      <c r="E20" s="2">
        <f>C20*Doses!H18</f>
        <v>34.722187499999997</v>
      </c>
      <c r="F20" s="3">
        <f>D20*Doses!J18</f>
        <v>1.631151462328767E-8</v>
      </c>
      <c r="G20" s="108">
        <f>SUM((C20*Doses!H18),(D20*Doses!J18))</f>
        <v>34.722187516311514</v>
      </c>
      <c r="H20" s="3">
        <f t="shared" ref="H20:H23" si="37">IFERROR(E20/_1_bq,".")</f>
        <v>1.2847209375000013</v>
      </c>
      <c r="I20" s="3">
        <f t="shared" ref="I20:I23" si="38">IFERROR(F20/_1_bq,".")</f>
        <v>6.0352604106164436E-10</v>
      </c>
      <c r="J20" s="4">
        <f t="shared" ref="J20:J23" si="39">IFERROR(G20/_1_bq,".")</f>
        <v>1.2847209381035274</v>
      </c>
    </row>
    <row r="21" spans="1:10">
      <c r="A21" s="87" t="s">
        <v>37</v>
      </c>
      <c r="B21" s="12" t="s">
        <v>59</v>
      </c>
      <c r="C21" s="132">
        <f t="shared" si="35"/>
        <v>2005.208333333333</v>
      </c>
      <c r="D21" s="132">
        <f t="shared" si="36"/>
        <v>0.3139269406392694</v>
      </c>
      <c r="E21" s="2">
        <f>C21*Doses!H19</f>
        <v>0</v>
      </c>
      <c r="F21" s="3">
        <f>D21*Doses!J19</f>
        <v>6.2680202260273976E-8</v>
      </c>
      <c r="G21" s="108">
        <f>SUM((C21*Doses!H19),(D21*Doses!J19))</f>
        <v>6.2680202260273976E-8</v>
      </c>
      <c r="H21" s="3">
        <f t="shared" si="37"/>
        <v>0</v>
      </c>
      <c r="I21" s="3">
        <f t="shared" si="38"/>
        <v>2.3191674836301395E-9</v>
      </c>
      <c r="J21" s="4">
        <f t="shared" si="39"/>
        <v>2.3191674836301395E-9</v>
      </c>
    </row>
    <row r="22" spans="1:10">
      <c r="A22" s="87" t="s">
        <v>38</v>
      </c>
      <c r="B22" s="90" t="s">
        <v>59</v>
      </c>
      <c r="C22" s="132">
        <f t="shared" si="35"/>
        <v>2005.208333333333</v>
      </c>
      <c r="D22" s="132">
        <f t="shared" si="36"/>
        <v>0.3139269406392694</v>
      </c>
      <c r="E22" s="2">
        <f>C22*Doses!H20</f>
        <v>0</v>
      </c>
      <c r="F22" s="3">
        <f>D22*Doses!J20</f>
        <v>1.3928933835616439E-7</v>
      </c>
      <c r="G22" s="108">
        <f>SUM((C22*Doses!H20),(D22*Doses!J20))</f>
        <v>1.3928933835616439E-7</v>
      </c>
      <c r="H22" s="3">
        <f t="shared" si="37"/>
        <v>0</v>
      </c>
      <c r="I22" s="3">
        <f t="shared" si="38"/>
        <v>5.153705519178088E-9</v>
      </c>
      <c r="J22" s="4">
        <f t="shared" si="39"/>
        <v>5.153705519178088E-9</v>
      </c>
    </row>
    <row r="23" spans="1:10">
      <c r="A23" s="87" t="s">
        <v>39</v>
      </c>
      <c r="B23" s="90" t="s">
        <v>59</v>
      </c>
      <c r="C23" s="132">
        <f t="shared" si="35"/>
        <v>2005.208333333333</v>
      </c>
      <c r="D23" s="132">
        <f t="shared" si="36"/>
        <v>0.3139269406392694</v>
      </c>
      <c r="E23" s="2">
        <f>C23*Doses!H21</f>
        <v>1.5279687499999998E-2</v>
      </c>
      <c r="F23" s="3">
        <f>D23*Doses!J21</f>
        <v>9.6036333287671233E-11</v>
      </c>
      <c r="G23" s="108">
        <f>SUM((C23*Doses!H21),(D23*Doses!J21))</f>
        <v>1.5279687596036332E-2</v>
      </c>
      <c r="H23" s="3">
        <f t="shared" si="37"/>
        <v>5.6534843750000055E-4</v>
      </c>
      <c r="I23" s="3">
        <f t="shared" si="38"/>
        <v>3.5533443316438391E-12</v>
      </c>
      <c r="J23" s="4">
        <f t="shared" si="39"/>
        <v>5.653484410533448E-4</v>
      </c>
    </row>
    <row r="24" spans="1:10">
      <c r="A24" s="87" t="s">
        <v>26</v>
      </c>
      <c r="B24" s="12" t="s">
        <v>59</v>
      </c>
      <c r="C24" s="132">
        <f t="shared" ref="C24:C25" si="40">s_C*s_IFAres_adj*s_Fin*s_Fi</f>
        <v>2005.208333333333</v>
      </c>
      <c r="D24" s="132">
        <f t="shared" ref="D24:D25" si="41">s_C*s_EFres*(1/365)*s_ETres*(1/24)*s_GSFa*s_Fin*s_Fi</f>
        <v>0.3139269406392694</v>
      </c>
      <c r="E24" s="2">
        <f>C24*Doses!H22</f>
        <v>62.39606770833332</v>
      </c>
      <c r="F24" s="3">
        <f>D24*Doses!J22</f>
        <v>9.0538069931506854E-6</v>
      </c>
      <c r="G24" s="108">
        <f>SUM((C24*Doses!H22),(D24*Doses!J22))</f>
        <v>62.396076762140311</v>
      </c>
      <c r="H24" s="3">
        <f t="shared" ref="H24:J25" si="42">IFERROR(E24/_1_bq,".")</f>
        <v>2.3086545052083354</v>
      </c>
      <c r="I24" s="3">
        <f t="shared" si="42"/>
        <v>3.3499085874657569E-7</v>
      </c>
      <c r="J24" s="4">
        <f t="shared" si="42"/>
        <v>2.308654840199194</v>
      </c>
    </row>
    <row r="25" spans="1:10">
      <c r="A25" s="88" t="s">
        <v>27</v>
      </c>
      <c r="B25" s="90" t="s">
        <v>44</v>
      </c>
      <c r="C25" s="132">
        <f t="shared" si="40"/>
        <v>2005.208333333333</v>
      </c>
      <c r="D25" s="132">
        <f t="shared" si="41"/>
        <v>0.3139269406392694</v>
      </c>
      <c r="E25" s="2">
        <f>C25*Doses!H23</f>
        <v>76.418489583333312</v>
      </c>
      <c r="F25" s="3">
        <f>D25*Doses!J23</f>
        <v>1.1399732691780822E-5</v>
      </c>
      <c r="G25" s="108">
        <f>SUM((C25*Doses!H23),(D25*Doses!J23))</f>
        <v>76.418500983065996</v>
      </c>
      <c r="H25" s="3">
        <f t="shared" si="42"/>
        <v>2.8274841145833354</v>
      </c>
      <c r="I25" s="3">
        <f t="shared" si="42"/>
        <v>4.2179010959589085E-7</v>
      </c>
      <c r="J25" s="4">
        <f t="shared" si="42"/>
        <v>2.8274845363734449</v>
      </c>
    </row>
    <row r="26" spans="1:10">
      <c r="A26" s="87" t="s">
        <v>30</v>
      </c>
      <c r="B26" s="90" t="s">
        <v>59</v>
      </c>
      <c r="C26" s="132">
        <f t="shared" ref="C26" si="43">s_C*s_IFAres_adj*s_Fin*s_Fi</f>
        <v>2005.208333333333</v>
      </c>
      <c r="D26" s="132">
        <f t="shared" ref="D26" si="44">s_C*s_EFres*(1/365)*s_ETres*(1/24)*s_GSFa*s_Fin*s_Fi</f>
        <v>0.3139269406392694</v>
      </c>
      <c r="E26" s="2">
        <f>C26*Doses!H24</f>
        <v>0</v>
      </c>
      <c r="F26" s="3">
        <f>D26*Doses!J24</f>
        <v>1.2462730273972603E-6</v>
      </c>
      <c r="G26" s="108">
        <f>SUM((C26*Doses!H24),(D26*Doses!J24))</f>
        <v>1.2462730273972603E-6</v>
      </c>
      <c r="H26" s="3">
        <f t="shared" ref="H26:J27" si="45">IFERROR(E26/_1_bq,".")</f>
        <v>0</v>
      </c>
      <c r="I26" s="3">
        <f t="shared" si="45"/>
        <v>4.6112102013698676E-8</v>
      </c>
      <c r="J26" s="4">
        <f t="shared" si="45"/>
        <v>4.6112102013698676E-8</v>
      </c>
    </row>
    <row r="27" spans="1:10">
      <c r="A27" s="88" t="s">
        <v>31</v>
      </c>
      <c r="B27" s="90" t="s">
        <v>44</v>
      </c>
      <c r="C27" s="132">
        <f t="shared" ref="C27" si="46">s_C*s_IFAres_adj*s_Fin*s_Fi</f>
        <v>2005.208333333333</v>
      </c>
      <c r="D27" s="132">
        <f t="shared" ref="D27" si="47">s_C*s_EFres*(1/365)*s_ETres*(1/24)*s_GSFa*s_Fin*s_Fi</f>
        <v>0.3139269406392694</v>
      </c>
      <c r="E27" s="2">
        <f>C27*Doses!H25</f>
        <v>1.3134114583333332E-2</v>
      </c>
      <c r="F27" s="3">
        <f>D27*Doses!J25</f>
        <v>6.3413304041095888E-7</v>
      </c>
      <c r="G27" s="108">
        <f>SUM((C27*Doses!H25),(D27*Doses!J25))</f>
        <v>1.3134748716373743E-2</v>
      </c>
      <c r="H27" s="3">
        <f t="shared" si="45"/>
        <v>4.859622395833338E-4</v>
      </c>
      <c r="I27" s="3">
        <f t="shared" si="45"/>
        <v>2.3462922495205502E-8</v>
      </c>
      <c r="J27" s="4">
        <f t="shared" si="45"/>
        <v>4.8598570250582898E-4</v>
      </c>
    </row>
    <row r="28" spans="1:10">
      <c r="A28" s="87" t="s">
        <v>35</v>
      </c>
      <c r="B28" s="12" t="s">
        <v>59</v>
      </c>
      <c r="C28" s="132">
        <f t="shared" ref="C28:C31" si="48">s_C*s_IFAres_adj*s_Fin*s_Fi</f>
        <v>2005.208333333333</v>
      </c>
      <c r="D28" s="132">
        <f t="shared" ref="D28:D31" si="49">s_C*s_EFres*(1/365)*s_ETres*(1/24)*s_GSFa*s_Fin*s_Fi</f>
        <v>0.3139269406392694</v>
      </c>
      <c r="E28" s="2">
        <f>C28*Doses!H26</f>
        <v>560.15494791666652</v>
      </c>
      <c r="F28" s="3">
        <f>D28*Doses!J26</f>
        <v>1.2169489561643836E-4</v>
      </c>
      <c r="G28" s="108">
        <f>SUM((C28*Doses!H26),(D28*Doses!J26))</f>
        <v>560.15506961156211</v>
      </c>
      <c r="H28" s="3">
        <f t="shared" ref="H28:J28" si="50">IFERROR(E28/_1_bq,".")</f>
        <v>20.725733072916682</v>
      </c>
      <c r="I28" s="3">
        <f t="shared" si="50"/>
        <v>4.5027111378082238E-6</v>
      </c>
      <c r="J28" s="4">
        <f t="shared" si="50"/>
        <v>20.725737575627818</v>
      </c>
    </row>
    <row r="29" spans="1:10">
      <c r="A29" s="87" t="s">
        <v>40</v>
      </c>
      <c r="B29" s="90" t="s">
        <v>59</v>
      </c>
      <c r="C29" s="132">
        <f t="shared" si="48"/>
        <v>2005.208333333333</v>
      </c>
      <c r="D29" s="132">
        <f t="shared" si="49"/>
        <v>0.3139269406392694</v>
      </c>
      <c r="E29" s="2">
        <f>C29*Doses!H27</f>
        <v>0</v>
      </c>
      <c r="F29" s="3">
        <f>D29*Doses!J27</f>
        <v>1.4552070349315068E-5</v>
      </c>
      <c r="G29" s="108">
        <f>SUM((C29*Doses!H27),(D29*Doses!J27))</f>
        <v>1.4552070349315068E-5</v>
      </c>
      <c r="H29" s="3">
        <f t="shared" ref="H29:H31" si="51">IFERROR(E29/_1_bq,".")</f>
        <v>0</v>
      </c>
      <c r="I29" s="3">
        <f t="shared" ref="I29:I31" si="52">IFERROR(F29/_1_bq,".")</f>
        <v>5.3842660292465806E-7</v>
      </c>
      <c r="J29" s="4">
        <f t="shared" ref="J29:J31" si="53">IFERROR(G29/_1_bq,".")</f>
        <v>5.3842660292465806E-7</v>
      </c>
    </row>
    <row r="30" spans="1:10">
      <c r="A30" s="87" t="s">
        <v>41</v>
      </c>
      <c r="B30" s="12" t="s">
        <v>59</v>
      </c>
      <c r="C30" s="132">
        <f t="shared" si="48"/>
        <v>2005.208333333333</v>
      </c>
      <c r="D30" s="132">
        <f t="shared" si="49"/>
        <v>0.3139269406392694</v>
      </c>
      <c r="E30" s="2">
        <f>C30*Doses!H28</f>
        <v>0</v>
      </c>
      <c r="F30" s="3">
        <f>D30*Doses!J28</f>
        <v>3.7388190821917807E-3</v>
      </c>
      <c r="G30" s="108">
        <f>SUM((C30*Doses!H28),(D30*Doses!J28))</f>
        <v>3.7388190821917807E-3</v>
      </c>
      <c r="H30" s="3">
        <f t="shared" si="51"/>
        <v>0</v>
      </c>
      <c r="I30" s="3">
        <f t="shared" si="52"/>
        <v>1.3833630604109603E-4</v>
      </c>
      <c r="J30" s="4">
        <f t="shared" si="53"/>
        <v>1.3833630604109603E-4</v>
      </c>
    </row>
    <row r="31" spans="1:10">
      <c r="A31" s="87" t="s">
        <v>42</v>
      </c>
      <c r="B31" s="90" t="s">
        <v>59</v>
      </c>
      <c r="C31" s="132">
        <f t="shared" si="48"/>
        <v>2005.208333333333</v>
      </c>
      <c r="D31" s="132">
        <f t="shared" si="49"/>
        <v>0.3139269406392694</v>
      </c>
      <c r="E31" s="2">
        <f>C31*Doses!H29</f>
        <v>0</v>
      </c>
      <c r="F31" s="3">
        <f>D31*Doses!J29</f>
        <v>4.8384717534246573E-3</v>
      </c>
      <c r="G31" s="108">
        <f>SUM((C31*Doses!H29),(D31*Doses!J29))</f>
        <v>4.8384717534246573E-3</v>
      </c>
      <c r="H31" s="3">
        <f t="shared" si="51"/>
        <v>0</v>
      </c>
      <c r="I31" s="3">
        <f t="shared" si="52"/>
        <v>1.7902345487671249E-4</v>
      </c>
      <c r="J31" s="4">
        <f t="shared" si="53"/>
        <v>1.7902345487671249E-4</v>
      </c>
    </row>
    <row r="32" spans="1:10" ht="13.5" thickBot="1">
      <c r="A32" s="87" t="s">
        <v>25</v>
      </c>
      <c r="B32" s="12" t="s">
        <v>59</v>
      </c>
      <c r="C32" s="132">
        <f t="shared" ref="C32" si="54">s_C*s_IFAres_adj*s_Fin*s_Fi</f>
        <v>2005.208333333333</v>
      </c>
      <c r="D32" s="132">
        <f t="shared" ref="D32" si="55">s_C*s_EFres*(1/365)*s_ETres*(1/24)*s_GSFa*s_Fin*s_Fi</f>
        <v>0.3139269406392694</v>
      </c>
      <c r="E32" s="2">
        <f>C32*Doses!H30</f>
        <v>76.418489583333312</v>
      </c>
      <c r="F32" s="3">
        <f>D32*Doses!J30</f>
        <v>3.8854394383561645E-7</v>
      </c>
      <c r="G32" s="108">
        <f>SUM((C32*Doses!H30),(D32*Doses!J30))</f>
        <v>76.41848997187725</v>
      </c>
      <c r="H32" s="3">
        <f t="shared" ref="H32:J32" si="56">IFERROR(E32/_1_bq,".")</f>
        <v>2.8274841145833354</v>
      </c>
      <c r="I32" s="3">
        <f t="shared" si="56"/>
        <v>1.4376125921917822E-8</v>
      </c>
      <c r="J32" s="4">
        <f t="shared" si="56"/>
        <v>2.827484128959461</v>
      </c>
    </row>
    <row r="33" spans="1:10" ht="15">
      <c r="A33" s="109" t="s">
        <v>14</v>
      </c>
      <c r="B33" s="109" t="s">
        <v>59</v>
      </c>
      <c r="C33" s="128"/>
      <c r="D33" s="129"/>
      <c r="E33" s="110">
        <f>SUM(E34:E46)</f>
        <v>1588.6893948947829</v>
      </c>
      <c r="F33" s="111">
        <f t="shared" ref="F33:G33" si="57">SUM(F34:F46)</f>
        <v>8.9360317889865119E-4</v>
      </c>
      <c r="G33" s="112">
        <f t="shared" si="57"/>
        <v>1588.6902884979618</v>
      </c>
      <c r="H33" s="110">
        <f t="shared" ref="H33:H78" si="58">E33/_1_bq</f>
        <v>58.781507611107031</v>
      </c>
      <c r="I33" s="111">
        <f t="shared" ref="I33:I78" si="59">F33/_1_bq</f>
        <v>3.3063317619250127E-5</v>
      </c>
      <c r="J33" s="112">
        <f t="shared" ref="J33:J78" si="60">G33/_1_bq</f>
        <v>58.781540674424647</v>
      </c>
    </row>
    <row r="34" spans="1:10" ht="15">
      <c r="A34" s="113" t="s">
        <v>175</v>
      </c>
      <c r="B34" s="114">
        <v>1</v>
      </c>
      <c r="C34" s="128"/>
      <c r="D34" s="129"/>
      <c r="E34" s="115">
        <f>IFERROR(VLOOKUP("Am-241",$A$4:$J$32,3)*VLOOKUP("Am-241",Doses!$A$1:$O$30,8)*$B34,0)</f>
        <v>727.83046874999991</v>
      </c>
      <c r="F34" s="127">
        <f>IFERROR(VLOOKUP("Am-241",$A$4:$J$32,4)*VLOOKUP("Am-241",Doses!$A$1:$O$30,10)*$B34,0)</f>
        <v>2.4632219835616437E-5</v>
      </c>
      <c r="G34" s="117">
        <f>SUM(E34:F34)</f>
        <v>727.83049338221974</v>
      </c>
      <c r="H34" s="115">
        <f t="shared" si="58"/>
        <v>26.929727343750024</v>
      </c>
      <c r="I34" s="116">
        <f t="shared" si="59"/>
        <v>9.1139213391780913E-7</v>
      </c>
      <c r="J34" s="117">
        <f t="shared" si="60"/>
        <v>26.929728255142159</v>
      </c>
    </row>
    <row r="35" spans="1:10" ht="15">
      <c r="A35" s="113" t="s">
        <v>176</v>
      </c>
      <c r="B35" s="114">
        <v>1</v>
      </c>
      <c r="C35" s="128"/>
      <c r="D35" s="129"/>
      <c r="E35" s="115">
        <f>IFERROR(VLOOKUP("Np-237",$A$4:$J$32,3)*VLOOKUP("Np-237",Doses!$A$1:$O$31,8)*$B35,0)</f>
        <v>93.482812499999994</v>
      </c>
      <c r="F35" s="127">
        <f>IFERROR(VLOOKUP("Np-237",$A$4:$J$32,4)*VLOOKUP("Np-237",Doses!$A$1:$O$31,10)*$B35,0)</f>
        <v>3.1523376575342465E-5</v>
      </c>
      <c r="G35" s="117">
        <f t="shared" ref="G35:G46" si="61">SUM(E35:F35)</f>
        <v>93.482844023376572</v>
      </c>
      <c r="H35" s="115">
        <f t="shared" si="58"/>
        <v>3.4588640625000031</v>
      </c>
      <c r="I35" s="116">
        <f t="shared" si="59"/>
        <v>1.1663649332876724E-6</v>
      </c>
      <c r="J35" s="117">
        <f t="shared" si="60"/>
        <v>3.4588652288649366</v>
      </c>
    </row>
    <row r="36" spans="1:10" ht="15">
      <c r="A36" s="113" t="s">
        <v>177</v>
      </c>
      <c r="B36" s="114">
        <v>1</v>
      </c>
      <c r="C36" s="128"/>
      <c r="D36" s="129"/>
      <c r="E36" s="115">
        <f>IFERROR(VLOOKUP("Pa-233",$A$4:$J$32,3)*VLOOKUP("Pa-233",Doses!$A$1:$O$32,8)*$B36,0)</f>
        <v>3.3831874999999997E-2</v>
      </c>
      <c r="F36" s="127">
        <f>IFERROR(VLOOKUP("Pa-233",$A$4:$J$32,4)*VLOOKUP("Pa-233",Doses!$A$1:$O$32,10)*$B36,0)</f>
        <v>3.3979267541095893E-4</v>
      </c>
      <c r="G36" s="117">
        <f t="shared" si="61"/>
        <v>3.4171667675410959E-2</v>
      </c>
      <c r="H36" s="115">
        <f t="shared" si="58"/>
        <v>1.2517793750000013E-3</v>
      </c>
      <c r="I36" s="116">
        <f t="shared" si="59"/>
        <v>1.2572328990205493E-5</v>
      </c>
      <c r="J36" s="117">
        <f t="shared" si="60"/>
        <v>1.2643517039902068E-3</v>
      </c>
    </row>
    <row r="37" spans="1:10" ht="15">
      <c r="A37" s="113" t="s">
        <v>178</v>
      </c>
      <c r="B37" s="114">
        <v>1</v>
      </c>
      <c r="C37" s="128"/>
      <c r="D37" s="129"/>
      <c r="E37" s="115">
        <f>IFERROR(VLOOKUP("U-233",$A$4:$J$32,3)*VLOOKUP("U-233",Doses!$A$1:$O$33,8)*$B37,0)</f>
        <v>76.418489583333312</v>
      </c>
      <c r="F37" s="127">
        <f>IFERROR(VLOOKUP("U-233",$A$4:$J$32,4)*VLOOKUP("U-233",Doses!$A$1:$O$33,10)*$B37,0)</f>
        <v>3.8854394383561645E-7</v>
      </c>
      <c r="G37" s="117">
        <f t="shared" si="61"/>
        <v>76.41848997187725</v>
      </c>
      <c r="H37" s="115">
        <f t="shared" si="58"/>
        <v>2.8274841145833354</v>
      </c>
      <c r="I37" s="116">
        <f t="shared" si="59"/>
        <v>1.4376125921917822E-8</v>
      </c>
      <c r="J37" s="117">
        <f t="shared" si="60"/>
        <v>2.827484128959461</v>
      </c>
    </row>
    <row r="38" spans="1:10" ht="15">
      <c r="A38" s="113" t="s">
        <v>179</v>
      </c>
      <c r="B38" s="114">
        <v>1</v>
      </c>
      <c r="C38" s="128"/>
      <c r="D38" s="129"/>
      <c r="E38" s="115">
        <f>IFERROR(VLOOKUP("Th-229",$A$4:$J$32,3)*VLOOKUP("Th-229",Doses!$A$1:$O$34,8)*$B38,0)</f>
        <v>560.15494791666652</v>
      </c>
      <c r="F38" s="127">
        <f>IFERROR(VLOOKUP("Th-229",$A$4:$J$32,4)*VLOOKUP("Th-229",Doses!$A$1:$O$34,10)*$B38,0)</f>
        <v>1.2169489561643836E-4</v>
      </c>
      <c r="G38" s="117">
        <f t="shared" si="61"/>
        <v>560.15506961156211</v>
      </c>
      <c r="H38" s="115">
        <f t="shared" si="58"/>
        <v>20.725733072916682</v>
      </c>
      <c r="I38" s="116">
        <f t="shared" si="59"/>
        <v>4.5027111378082238E-6</v>
      </c>
      <c r="J38" s="117">
        <f t="shared" si="60"/>
        <v>20.725737575627818</v>
      </c>
    </row>
    <row r="39" spans="1:10" ht="15">
      <c r="A39" s="113" t="s">
        <v>180</v>
      </c>
      <c r="B39" s="114">
        <v>1</v>
      </c>
      <c r="C39" s="128"/>
      <c r="D39" s="129"/>
      <c r="E39" s="115">
        <f>IFERROR(VLOOKUP("Ra-225",$A$4:$J$32,3)*VLOOKUP("Ra-225",Doses!$A$1:$O$35,8)*$B39,0)</f>
        <v>62.39606770833332</v>
      </c>
      <c r="F39" s="127">
        <f>IFERROR(VLOOKUP("Ra-225",$A$4:$J$32,4)*VLOOKUP("Ra-225",Doses!$A$1:$O$35,10)*$B39,0)</f>
        <v>9.0538069931506854E-6</v>
      </c>
      <c r="G39" s="117">
        <f t="shared" si="61"/>
        <v>62.396076762140311</v>
      </c>
      <c r="H39" s="115">
        <f t="shared" si="58"/>
        <v>2.3086545052083354</v>
      </c>
      <c r="I39" s="116">
        <f t="shared" si="59"/>
        <v>3.3499085874657569E-7</v>
      </c>
      <c r="J39" s="117">
        <f t="shared" si="60"/>
        <v>2.308654840199194</v>
      </c>
    </row>
    <row r="40" spans="1:10" ht="15">
      <c r="A40" s="113" t="s">
        <v>181</v>
      </c>
      <c r="B40" s="114">
        <v>1</v>
      </c>
      <c r="C40" s="128"/>
      <c r="D40" s="129"/>
      <c r="E40" s="115">
        <f>IFERROR(VLOOKUP("Ac-225",$A$4:$J$32,3)*VLOOKUP("Ac-225",Doses!$A$1:$O$36,8)*$B40,0)</f>
        <v>68.10890624999999</v>
      </c>
      <c r="F40" s="127">
        <f>IFERROR(VLOOKUP("Ac-225",$A$4:$J$32,4)*VLOOKUP("Ac-225",Doses!$A$1:$O$36,10)*$B40,0)</f>
        <v>2.0746780397260273E-5</v>
      </c>
      <c r="G40" s="117">
        <f t="shared" si="61"/>
        <v>68.108926996780383</v>
      </c>
      <c r="H40" s="115">
        <f t="shared" si="58"/>
        <v>2.5200295312500023</v>
      </c>
      <c r="I40" s="116">
        <f t="shared" si="59"/>
        <v>7.6763087469863091E-7</v>
      </c>
      <c r="J40" s="117">
        <f t="shared" si="60"/>
        <v>2.5200302988808767</v>
      </c>
    </row>
    <row r="41" spans="1:10" ht="15">
      <c r="A41" s="113" t="s">
        <v>182</v>
      </c>
      <c r="B41" s="114">
        <v>1</v>
      </c>
      <c r="C41" s="128"/>
      <c r="D41" s="129"/>
      <c r="E41" s="115">
        <f>IFERROR(VLOOKUP("Fr-221",$A$4:$J$32,3)*VLOOKUP("Fr-221",Doses!$A$1:$O$37,8)*$B41,0)</f>
        <v>0</v>
      </c>
      <c r="F41" s="127">
        <f>IFERROR(VLOOKUP("Fr-221",$A$4:$J$32,4)*VLOOKUP("Fr-221",Doses!$A$1:$O$37,10)*$B41,0)</f>
        <v>4.581886130136986E-5</v>
      </c>
      <c r="G41" s="117">
        <f t="shared" si="61"/>
        <v>4.581886130136986E-5</v>
      </c>
      <c r="H41" s="115">
        <f t="shared" si="58"/>
        <v>0</v>
      </c>
      <c r="I41" s="116">
        <f t="shared" si="59"/>
        <v>1.6952978681506865E-6</v>
      </c>
      <c r="J41" s="117">
        <f t="shared" si="60"/>
        <v>1.6952978681506865E-6</v>
      </c>
    </row>
    <row r="42" spans="1:10" ht="15">
      <c r="A42" s="113" t="s">
        <v>183</v>
      </c>
      <c r="B42" s="114">
        <v>1</v>
      </c>
      <c r="C42" s="128"/>
      <c r="D42" s="129"/>
      <c r="E42" s="115">
        <f>IFERROR(VLOOKUP("At-217",$A$4:$J$32,3)*VLOOKUP("At-217",Doses!$A$1:$O$38,8)*$B42,0)</f>
        <v>0</v>
      </c>
      <c r="F42" s="127">
        <f>IFERROR(VLOOKUP("At-217",$A$4:$J$32,4)*VLOOKUP("At-217",Doses!$A$1:$O$38,10)*$B42,0)</f>
        <v>3.8854394383561645E-7</v>
      </c>
      <c r="G42" s="117">
        <f t="shared" si="61"/>
        <v>3.8854394383561645E-7</v>
      </c>
      <c r="H42" s="115">
        <f t="shared" si="58"/>
        <v>0</v>
      </c>
      <c r="I42" s="116">
        <f t="shared" si="59"/>
        <v>1.4376125921917822E-8</v>
      </c>
      <c r="J42" s="117">
        <f t="shared" si="60"/>
        <v>1.4376125921917822E-8</v>
      </c>
    </row>
    <row r="43" spans="1:10" ht="15">
      <c r="A43" s="113" t="s">
        <v>184</v>
      </c>
      <c r="B43" s="118">
        <v>0.99987999999999999</v>
      </c>
      <c r="C43" s="128"/>
      <c r="D43" s="129"/>
      <c r="E43" s="115">
        <f>IFERROR(VLOOKUP("Bi-213",$A$4:$J$32,3)*VLOOKUP("Bi-213",Doses!$A$1:$O$39,8)*$B43,0)</f>
        <v>0.26335250848958325</v>
      </c>
      <c r="F43" s="127">
        <f>IFERROR(VLOOKUP("Bi-213",$A$4:$J$32,4)*VLOOKUP("Bi-213",Doses!$A$1:$O$39,10)*$B43,0)</f>
        <v>2.1770510115664109E-4</v>
      </c>
      <c r="G43" s="117">
        <f t="shared" si="61"/>
        <v>0.2635702135907399</v>
      </c>
      <c r="H43" s="115">
        <f t="shared" si="58"/>
        <v>9.7440428141145896E-3</v>
      </c>
      <c r="I43" s="116">
        <f t="shared" si="59"/>
        <v>8.0550887427957284E-6</v>
      </c>
      <c r="J43" s="117">
        <f t="shared" si="60"/>
        <v>9.7520979028573856E-3</v>
      </c>
    </row>
    <row r="44" spans="1:10" ht="15">
      <c r="A44" s="113" t="s">
        <v>185</v>
      </c>
      <c r="B44" s="114">
        <v>0.97898250799999997</v>
      </c>
      <c r="C44" s="128"/>
      <c r="D44" s="129"/>
      <c r="E44" s="115">
        <f>IFERROR(VLOOKUP("Po-213",$A$4:$J$32,3)*VLOOKUP("Po-213",Doses!$A$1:$O$40,8)*$B44,0)</f>
        <v>0</v>
      </c>
      <c r="F44" s="127">
        <f>IFERROR(VLOOKUP("Po-213",$A$4:$J$32,4)*VLOOKUP("Po-213",Doses!$A$1:$O$40,10)*$B44,0)</f>
        <v>6.1362821610710283E-8</v>
      </c>
      <c r="G44" s="117">
        <f t="shared" si="61"/>
        <v>6.1362821610710283E-8</v>
      </c>
      <c r="H44" s="115">
        <f t="shared" si="58"/>
        <v>0</v>
      </c>
      <c r="I44" s="116">
        <f t="shared" si="59"/>
        <v>2.2704243995962828E-9</v>
      </c>
      <c r="J44" s="117">
        <f t="shared" si="60"/>
        <v>2.2704243995962828E-9</v>
      </c>
    </row>
    <row r="45" spans="1:10" ht="15">
      <c r="A45" s="113" t="s">
        <v>186</v>
      </c>
      <c r="B45" s="114">
        <v>2.0897492E-2</v>
      </c>
      <c r="C45" s="128"/>
      <c r="D45" s="129"/>
      <c r="E45" s="115">
        <f>IFERROR(VLOOKUP("Tl-209",$A$4:$J$32,3)*VLOOKUP("Tl-209",Doses!$A$1:$O$41,8)*$B45,0)</f>
        <v>0</v>
      </c>
      <c r="F45" s="127">
        <f>IFERROR(VLOOKUP("Tl-209",$A$4:$J$32,4)*VLOOKUP("Tl-209",Doses!$A$1:$O$41,10)*$B45,0)</f>
        <v>7.8131941859550084E-5</v>
      </c>
      <c r="G45" s="117">
        <f t="shared" si="61"/>
        <v>7.8131941859550084E-5</v>
      </c>
      <c r="H45" s="115">
        <f t="shared" si="58"/>
        <v>0</v>
      </c>
      <c r="I45" s="116">
        <f t="shared" si="59"/>
        <v>2.8908818488033561E-6</v>
      </c>
      <c r="J45" s="117">
        <f t="shared" si="60"/>
        <v>2.8908818488033561E-6</v>
      </c>
    </row>
    <row r="46" spans="1:10" ht="15">
      <c r="A46" s="113" t="s">
        <v>187</v>
      </c>
      <c r="B46" s="114">
        <v>0.99987999999999999</v>
      </c>
      <c r="C46" s="128"/>
      <c r="D46" s="129"/>
      <c r="E46" s="115">
        <f>IFERROR(VLOOKUP("Pb-209",$A$4:$J$32,3)*VLOOKUP("Pb-209",Doses!$A$1:$O$42,8)*$B46,0)</f>
        <v>5.1780296035416657E-4</v>
      </c>
      <c r="F46" s="127">
        <f>IFERROR(VLOOKUP("Pb-209",$A$4:$J$32,4)*VLOOKUP("Pb-209",Doses!$A$1:$O$42,10)*$B46,0)</f>
        <v>3.6650690430410958E-6</v>
      </c>
      <c r="G46" s="117">
        <f t="shared" si="61"/>
        <v>5.2146802939720762E-4</v>
      </c>
      <c r="H46" s="115">
        <f t="shared" si="58"/>
        <v>1.9158709533104181E-5</v>
      </c>
      <c r="I46" s="116">
        <f t="shared" si="59"/>
        <v>1.3560755459252067E-7</v>
      </c>
      <c r="J46" s="117">
        <f t="shared" si="60"/>
        <v>1.9294317087696701E-5</v>
      </c>
    </row>
    <row r="47" spans="1:10" ht="15">
      <c r="A47" s="109" t="s">
        <v>17</v>
      </c>
      <c r="B47" s="109" t="s">
        <v>59</v>
      </c>
      <c r="C47" s="128"/>
      <c r="D47" s="130"/>
      <c r="E47" s="119">
        <f>SUM(E48:E49)</f>
        <v>0.30938359374999991</v>
      </c>
      <c r="F47" s="126">
        <f>SUM(F48:F49)</f>
        <v>9.3424038722488359E-4</v>
      </c>
      <c r="G47" s="121">
        <f>SUM(G48:G49)</f>
        <v>0.31031783413722475</v>
      </c>
      <c r="H47" s="119">
        <f t="shared" si="58"/>
        <v>1.1447192968750007E-2</v>
      </c>
      <c r="I47" s="120">
        <f t="shared" si="59"/>
        <v>3.456689432732073E-5</v>
      </c>
      <c r="J47" s="121">
        <f t="shared" si="60"/>
        <v>1.1481759863077328E-2</v>
      </c>
    </row>
    <row r="48" spans="1:10" ht="15">
      <c r="A48" s="113" t="s">
        <v>188</v>
      </c>
      <c r="B48" s="114">
        <v>1</v>
      </c>
      <c r="C48" s="128"/>
      <c r="D48" s="129"/>
      <c r="E48" s="115">
        <f>IFERROR(VLOOKUP("Cs-137",$A$4:$J$32,3)*VLOOKUP("Cs-137",Doses!$A$1:$O$40,8)*$B48,0)</f>
        <v>0.30938359374999991</v>
      </c>
      <c r="F48" s="127">
        <f>IFERROR(VLOOKUP("Cs-137",$A$4:$J$32,4)*VLOOKUP("Cs-137",Doses!$A$1:$O$40,10)*$B48,0)</f>
        <v>3.4455783698630134E-6</v>
      </c>
      <c r="G48" s="117">
        <f t="shared" ref="G48:G49" si="62">SUM(E48:F48)</f>
        <v>0.30938703932836975</v>
      </c>
      <c r="H48" s="115">
        <f t="shared" si="58"/>
        <v>1.1447192968750007E-2</v>
      </c>
      <c r="I48" s="116">
        <f t="shared" si="59"/>
        <v>1.2748639968493162E-7</v>
      </c>
      <c r="J48" s="117">
        <f t="shared" si="60"/>
        <v>1.1447320455149693E-2</v>
      </c>
    </row>
    <row r="49" spans="1:10" ht="15">
      <c r="A49" s="113" t="s">
        <v>189</v>
      </c>
      <c r="B49" s="114">
        <v>0.94399</v>
      </c>
      <c r="C49" s="128"/>
      <c r="D49" s="129"/>
      <c r="E49" s="115">
        <f>IFERROR(VLOOKUP("Ba-137m",$A$4:$J$32,3)*VLOOKUP("Ba-137m",Doses!$A$1:$O$40,8)*$B49,0)</f>
        <v>0</v>
      </c>
      <c r="F49" s="127">
        <f>IFERROR(VLOOKUP("Ba-137m",$A$4:$J$32,4)*VLOOKUP("Ba-137m",Doses!$A$1:$O$40,10)*$B49,0)</f>
        <v>9.3079480885502059E-4</v>
      </c>
      <c r="G49" s="117">
        <f t="shared" si="62"/>
        <v>9.3079480885502059E-4</v>
      </c>
      <c r="H49" s="115">
        <f t="shared" si="58"/>
        <v>0</v>
      </c>
      <c r="I49" s="116">
        <f t="shared" si="59"/>
        <v>3.4439407927635796E-5</v>
      </c>
      <c r="J49" s="117">
        <f t="shared" si="60"/>
        <v>3.4439407927635796E-5</v>
      </c>
    </row>
    <row r="50" spans="1:10" ht="15">
      <c r="A50" s="109" t="s">
        <v>27</v>
      </c>
      <c r="B50" s="109" t="s">
        <v>59</v>
      </c>
      <c r="C50" s="128"/>
      <c r="D50" s="130"/>
      <c r="E50" s="119">
        <f>SUM(E51:E64)</f>
        <v>157.15732218219685</v>
      </c>
      <c r="F50" s="126">
        <f>SUM(F51:F64)</f>
        <v>3.0373555343383538E-3</v>
      </c>
      <c r="G50" s="121">
        <f>SUM(G51:G64)</f>
        <v>157.16035953773121</v>
      </c>
      <c r="H50" s="119">
        <f t="shared" si="58"/>
        <v>5.8148209207412895</v>
      </c>
      <c r="I50" s="120">
        <f t="shared" si="59"/>
        <v>1.123821547705192E-4</v>
      </c>
      <c r="J50" s="121">
        <f t="shared" si="60"/>
        <v>5.814933302896061</v>
      </c>
    </row>
    <row r="51" spans="1:10" ht="15">
      <c r="A51" s="113" t="s">
        <v>190</v>
      </c>
      <c r="B51" s="114">
        <v>1</v>
      </c>
      <c r="C51" s="128"/>
      <c r="D51" s="129"/>
      <c r="E51" s="115">
        <f>IFERROR(VLOOKUP("Ra-226",$A$4:$J$32,3)*VLOOKUP("Ra-226",Doses!$A$1:$O$40,8)*$B51,0)</f>
        <v>76.418489583333312</v>
      </c>
      <c r="F51" s="127">
        <f>IFERROR(VLOOKUP("Ra-226",$A$4:$J$32,4)*VLOOKUP("Ra-226",Doses!$A$1:$O$40,10)*$B51,0)</f>
        <v>1.1399732691780822E-5</v>
      </c>
      <c r="G51" s="117">
        <f t="shared" ref="G51:G64" si="63">SUM(E51:F51)</f>
        <v>76.418500983065996</v>
      </c>
      <c r="H51" s="115">
        <f t="shared" si="58"/>
        <v>2.8274841145833354</v>
      </c>
      <c r="I51" s="116">
        <f t="shared" si="59"/>
        <v>4.2179010959589085E-7</v>
      </c>
      <c r="J51" s="117">
        <f t="shared" si="60"/>
        <v>2.8274845363734449</v>
      </c>
    </row>
    <row r="52" spans="1:10" ht="15">
      <c r="A52" s="113" t="s">
        <v>191</v>
      </c>
      <c r="B52" s="114">
        <v>1</v>
      </c>
      <c r="C52" s="128"/>
      <c r="D52" s="129"/>
      <c r="E52" s="115">
        <f>IFERROR(VLOOKUP("Rn-222",$A$4:$J$32,3)*VLOOKUP("Rn-222",Doses!$A$1:$O$40,8)*$B52,0)</f>
        <v>1.3134114583333332E-2</v>
      </c>
      <c r="F52" s="127">
        <f>IFERROR(VLOOKUP("Rn-222",$A$4:$J$32,4)*VLOOKUP("Rn-222",Doses!$A$1:$O$40,10)*$B52,0)</f>
        <v>6.3413304041095888E-7</v>
      </c>
      <c r="G52" s="117">
        <f t="shared" si="63"/>
        <v>1.3134748716373743E-2</v>
      </c>
      <c r="H52" s="115">
        <f t="shared" si="58"/>
        <v>4.859622395833338E-4</v>
      </c>
      <c r="I52" s="116">
        <f t="shared" si="59"/>
        <v>2.3462922495205502E-8</v>
      </c>
      <c r="J52" s="117">
        <f t="shared" si="60"/>
        <v>4.8598570250582898E-4</v>
      </c>
    </row>
    <row r="53" spans="1:10" ht="15">
      <c r="A53" s="113" t="s">
        <v>192</v>
      </c>
      <c r="B53" s="114">
        <v>1</v>
      </c>
      <c r="C53" s="128"/>
      <c r="D53" s="129"/>
      <c r="E53" s="115">
        <f>IFERROR(VLOOKUP("Po-218",$A$4:$J$32,3)*VLOOKUP("Po-218",Doses!$A$1:$O$40,8)*$B53,0)</f>
        <v>1.5279687499999998E-2</v>
      </c>
      <c r="F53" s="127">
        <f>IFERROR(VLOOKUP("Po-218",$A$4:$J$32,4)*VLOOKUP("Po-218",Doses!$A$1:$O$40,10)*$B53,0)</f>
        <v>9.6036333287671233E-11</v>
      </c>
      <c r="G53" s="117">
        <f t="shared" si="63"/>
        <v>1.5279687596036332E-2</v>
      </c>
      <c r="H53" s="115">
        <f t="shared" si="58"/>
        <v>5.6534843750000055E-4</v>
      </c>
      <c r="I53" s="116">
        <f t="shared" si="59"/>
        <v>3.5533443316438391E-12</v>
      </c>
      <c r="J53" s="117">
        <f t="shared" si="60"/>
        <v>5.653484410533448E-4</v>
      </c>
    </row>
    <row r="54" spans="1:10" ht="15">
      <c r="A54" s="113" t="s">
        <v>194</v>
      </c>
      <c r="B54" s="114">
        <v>2.0000000000000001E-4</v>
      </c>
      <c r="C54" s="128"/>
      <c r="D54" s="129"/>
      <c r="E54" s="115">
        <f>IFERROR(VLOOKUP("At-218",$A$4:$J$32,3)*VLOOKUP("At-218",Doses!$A$1:$O$40,8)*$B54,0)</f>
        <v>0</v>
      </c>
      <c r="F54" s="127">
        <f>IFERROR(VLOOKUP("At-218",$A$4:$J$32,4)*VLOOKUP("At-218",Doses!$A$1:$O$40,10)*$B54,0)</f>
        <v>7.1843974520547959E-12</v>
      </c>
      <c r="G54" s="117">
        <f>SUM(E54:F54)</f>
        <v>7.1843974520547959E-12</v>
      </c>
      <c r="H54" s="115">
        <f t="shared" si="58"/>
        <v>0</v>
      </c>
      <c r="I54" s="116">
        <f t="shared" si="59"/>
        <v>2.658227057260277E-13</v>
      </c>
      <c r="J54" s="117">
        <f t="shared" si="60"/>
        <v>2.658227057260277E-13</v>
      </c>
    </row>
    <row r="55" spans="1:10" ht="15">
      <c r="A55" s="113" t="s">
        <v>196</v>
      </c>
      <c r="B55" s="114">
        <v>1.9999999999999999E-7</v>
      </c>
      <c r="C55" s="128"/>
      <c r="D55" s="129"/>
      <c r="E55" s="115">
        <f>IFERROR(VLOOKUP("Rn-218",$A$4:$J$32,3)*VLOOKUP("Rn-218",Doses!$A$1:$O$40,8)*$B55,0)</f>
        <v>0</v>
      </c>
      <c r="F55" s="127">
        <f>IFERROR(VLOOKUP("Rn-218",$A$4:$J$32,4)*VLOOKUP("Rn-218",Doses!$A$1:$O$40,10)*$B55,0)</f>
        <v>2.4925460547945203E-13</v>
      </c>
      <c r="G55" s="117">
        <f>SUM(E55:F55)</f>
        <v>2.4925460547945203E-13</v>
      </c>
      <c r="H55" s="115">
        <f t="shared" si="58"/>
        <v>0</v>
      </c>
      <c r="I55" s="116">
        <f t="shared" si="59"/>
        <v>9.2224204027397348E-15</v>
      </c>
      <c r="J55" s="117">
        <f t="shared" si="60"/>
        <v>9.2224204027397348E-15</v>
      </c>
    </row>
    <row r="56" spans="1:10" ht="15">
      <c r="A56" s="113" t="s">
        <v>193</v>
      </c>
      <c r="B56" s="114">
        <v>0.99980000000000002</v>
      </c>
      <c r="C56" s="128"/>
      <c r="D56" s="129"/>
      <c r="E56" s="115">
        <f>IFERROR(VLOOKUP("Pb-214",$A$4:$J$32,3)*VLOOKUP("Pb-214",Doses!$A$1:$O$40,8)*$B56,0)</f>
        <v>9.342401979166666E-2</v>
      </c>
      <c r="F56" s="127">
        <f>IFERROR(VLOOKUP("Pb-214",$A$4:$J$32,4)*VLOOKUP("Pb-214",Doses!$A$1:$O$40,10)*$B56,0)</f>
        <v>4.0679011405849315E-4</v>
      </c>
      <c r="G56" s="117">
        <f t="shared" si="63"/>
        <v>9.3830809905725149E-2</v>
      </c>
      <c r="H56" s="115">
        <f t="shared" si="58"/>
        <v>3.4566887322916699E-3</v>
      </c>
      <c r="I56" s="116">
        <f t="shared" si="59"/>
        <v>1.5051234220164262E-5</v>
      </c>
      <c r="J56" s="117">
        <f t="shared" si="60"/>
        <v>3.4717399665118338E-3</v>
      </c>
    </row>
    <row r="57" spans="1:10" ht="15">
      <c r="A57" s="113" t="s">
        <v>195</v>
      </c>
      <c r="B57" s="114">
        <v>0.99999979999999999</v>
      </c>
      <c r="C57" s="128"/>
      <c r="D57" s="129"/>
      <c r="E57" s="115">
        <f>IFERROR(VLOOKUP("Bi-214",$A$4:$J$32,3)*VLOOKUP("Bi-214",Doses!$A$1:$O$40,8)*$B57,0)</f>
        <v>7.339061032187498E-2</v>
      </c>
      <c r="F57" s="127">
        <f>IFERROR(VLOOKUP("Bi-214",$A$4:$J$32,4)*VLOOKUP("Bi-214",Doses!$A$1:$O$40,10)*$B57,0)</f>
        <v>2.6061763095865517E-3</v>
      </c>
      <c r="G57" s="117">
        <f t="shared" si="63"/>
        <v>7.5996786631461533E-2</v>
      </c>
      <c r="H57" s="115">
        <f t="shared" si="58"/>
        <v>2.7154525819093772E-3</v>
      </c>
      <c r="I57" s="116">
        <f t="shared" si="59"/>
        <v>9.6428523454702509E-5</v>
      </c>
      <c r="J57" s="117">
        <f t="shared" si="60"/>
        <v>2.8118811053640795E-3</v>
      </c>
    </row>
    <row r="58" spans="1:10" ht="15">
      <c r="A58" s="113" t="s">
        <v>197</v>
      </c>
      <c r="B58" s="114">
        <v>0.99979000004200003</v>
      </c>
      <c r="C58" s="128"/>
      <c r="D58" s="129"/>
      <c r="E58" s="115">
        <f>IFERROR(VLOOKUP("Po-214",$A$4:$J$32,3)*VLOOKUP("Po-214",Doses!$A$1:$O$40,8)*$B58,0)</f>
        <v>0</v>
      </c>
      <c r="F58" s="127">
        <f>IFERROR(VLOOKUP("Po-214",$A$4:$J$32,4)*VLOOKUP("Po-214",Doses!$A$1:$O$40,10)*$B58,0)</f>
        <v>1.3926008760095975E-7</v>
      </c>
      <c r="G58" s="117">
        <f t="shared" si="63"/>
        <v>1.3926008760095975E-7</v>
      </c>
      <c r="H58" s="115">
        <f t="shared" si="58"/>
        <v>0</v>
      </c>
      <c r="I58" s="116">
        <f t="shared" si="59"/>
        <v>5.1526232412355157E-9</v>
      </c>
      <c r="J58" s="117">
        <f t="shared" si="60"/>
        <v>5.1526232412355157E-9</v>
      </c>
    </row>
    <row r="59" spans="1:10" ht="15">
      <c r="A59" s="113" t="s">
        <v>198</v>
      </c>
      <c r="B59" s="114">
        <v>2.0999995799999999E-4</v>
      </c>
      <c r="C59" s="128"/>
      <c r="D59" s="129"/>
      <c r="E59" s="115">
        <f>IFERROR(VLOOKUP("Tl-210",$A$4:$J$32,3)*VLOOKUP("Tl-210",Doses!$A$1:$O$40,8)*$B59,0)</f>
        <v>0</v>
      </c>
      <c r="F59" s="127">
        <f>IFERROR(VLOOKUP("Tl-210",$A$4:$J$32,4)*VLOOKUP("Tl-210",Doses!$A$1:$O$40,10)*$B59,0)</f>
        <v>1.0160788650033644E-6</v>
      </c>
      <c r="G59" s="117">
        <f t="shared" si="63"/>
        <v>1.0160788650033644E-6</v>
      </c>
      <c r="H59" s="115">
        <f t="shared" si="58"/>
        <v>0</v>
      </c>
      <c r="I59" s="116">
        <f t="shared" si="59"/>
        <v>3.7594918005124523E-8</v>
      </c>
      <c r="J59" s="117">
        <f t="shared" si="60"/>
        <v>3.7594918005124523E-8</v>
      </c>
    </row>
    <row r="60" spans="1:10" ht="15">
      <c r="A60" s="113" t="s">
        <v>199</v>
      </c>
      <c r="B60" s="114">
        <v>1</v>
      </c>
      <c r="C60" s="128"/>
      <c r="D60" s="129"/>
      <c r="E60" s="115">
        <f>IFERROR(VLOOKUP("Pb-210",$A$4:$J$32,3)*VLOOKUP("Pb-210",Doses!$A$1:$O$40,8)*$B60,0)</f>
        <v>44.738203124999998</v>
      </c>
      <c r="F60" s="127">
        <f>IFERROR(VLOOKUP("Pb-210",$A$4:$J$32,4)*VLOOKUP("Pb-210",Doses!$A$1:$O$40,10)*$B60,0)</f>
        <v>1.7264546938356166E-6</v>
      </c>
      <c r="G60" s="117">
        <f t="shared" si="63"/>
        <v>44.73820485145469</v>
      </c>
      <c r="H60" s="115">
        <f t="shared" si="58"/>
        <v>1.6553135156250016</v>
      </c>
      <c r="I60" s="116">
        <f t="shared" si="59"/>
        <v>6.3878823671917877E-8</v>
      </c>
      <c r="J60" s="117">
        <f t="shared" si="60"/>
        <v>1.6553135795038252</v>
      </c>
    </row>
    <row r="61" spans="1:10" ht="15">
      <c r="A61" s="113" t="s">
        <v>200</v>
      </c>
      <c r="B61" s="114">
        <v>1</v>
      </c>
      <c r="C61" s="128"/>
      <c r="D61" s="129"/>
      <c r="E61" s="115">
        <f>IFERROR(VLOOKUP("Bi-210",$A$4:$J$32,3)*VLOOKUP("Bi-210",Doses!$A$1:$O$40,8)*$B61,0)</f>
        <v>1.0832135416666666</v>
      </c>
      <c r="F61" s="127">
        <f>IFERROR(VLOOKUP("Bi-210",$A$4:$J$32,4)*VLOOKUP("Bi-210",Doses!$A$1:$O$40,10)*$B61,0)</f>
        <v>9.4570129726027396E-6</v>
      </c>
      <c r="G61" s="117">
        <f t="shared" si="63"/>
        <v>1.0832229986796391</v>
      </c>
      <c r="H61" s="115">
        <f t="shared" si="58"/>
        <v>4.0078901041666705E-2</v>
      </c>
      <c r="I61" s="116">
        <f t="shared" si="59"/>
        <v>3.4990947998630174E-7</v>
      </c>
      <c r="J61" s="117">
        <f t="shared" si="60"/>
        <v>4.0079250951146686E-2</v>
      </c>
    </row>
    <row r="62" spans="1:10" ht="15">
      <c r="A62" s="113" t="s">
        <v>202</v>
      </c>
      <c r="B62" s="114">
        <v>1</v>
      </c>
      <c r="C62" s="128"/>
      <c r="D62" s="129"/>
      <c r="E62" s="115">
        <f>IFERROR(VLOOKUP("Po-210",$A$4:$J$32,3)*VLOOKUP("Po-210",Doses!$A$1:$O$40,8)*$B62,0)</f>
        <v>34.722187499999997</v>
      </c>
      <c r="F62" s="127">
        <f>IFERROR(VLOOKUP("Po-210",$A$4:$J$32,4)*VLOOKUP("Po-210",Doses!$A$1:$O$40,10)*$B62,0)</f>
        <v>1.631151462328767E-8</v>
      </c>
      <c r="G62" s="117">
        <f>SUM(E62:F62)</f>
        <v>34.722187516311514</v>
      </c>
      <c r="H62" s="115">
        <f t="shared" si="58"/>
        <v>1.2847209375000013</v>
      </c>
      <c r="I62" s="116">
        <f t="shared" si="59"/>
        <v>6.0352604106164436E-10</v>
      </c>
      <c r="J62" s="117">
        <f t="shared" si="60"/>
        <v>1.2847209381035274</v>
      </c>
    </row>
    <row r="63" spans="1:10" ht="15">
      <c r="A63" s="113" t="s">
        <v>201</v>
      </c>
      <c r="B63" s="114">
        <v>1.9000000000000001E-8</v>
      </c>
      <c r="C63" s="128"/>
      <c r="D63" s="129"/>
      <c r="E63" s="115">
        <f>IFERROR(VLOOKUP("Hg-206",$A$4:$J$32,3)*VLOOKUP("Hg-206",Doses!$A$1:$O$40,8)*$B63,0)</f>
        <v>0</v>
      </c>
      <c r="F63" s="127">
        <f>IFERROR(VLOOKUP("Hg-206",$A$4:$J$32,4)*VLOOKUP("Hg-206",Doses!$A$1:$O$40,10)*$B63,0)</f>
        <v>3.8722436063013695E-12</v>
      </c>
      <c r="G63" s="117">
        <f t="shared" si="63"/>
        <v>3.8722436063013695E-12</v>
      </c>
      <c r="H63" s="115">
        <f t="shared" si="58"/>
        <v>0</v>
      </c>
      <c r="I63" s="116">
        <f t="shared" si="59"/>
        <v>1.4327301343315081E-13</v>
      </c>
      <c r="J63" s="117">
        <f t="shared" si="60"/>
        <v>1.4327301343315081E-13</v>
      </c>
    </row>
    <row r="64" spans="1:10" ht="15">
      <c r="A64" s="113" t="s">
        <v>203</v>
      </c>
      <c r="B64" s="114">
        <v>1.339E-6</v>
      </c>
      <c r="C64" s="128"/>
      <c r="D64" s="129"/>
      <c r="E64" s="115">
        <f>IFERROR(VLOOKUP("Tl-206",$A$4:$J$32,3)*VLOOKUP("Tl-206",Doses!$A$1:$O$40,8)*$B64,0)</f>
        <v>0</v>
      </c>
      <c r="F64" s="127">
        <f>IFERROR(VLOOKUP("Tl-206",$A$4:$J$32,4)*VLOOKUP("Tl-206",Doses!$A$1:$O$40,10)*$B64,0)</f>
        <v>1.9485222197732876E-11</v>
      </c>
      <c r="G64" s="117">
        <f t="shared" si="63"/>
        <v>1.9485222197732876E-11</v>
      </c>
      <c r="H64" s="115">
        <f t="shared" si="58"/>
        <v>0</v>
      </c>
      <c r="I64" s="116">
        <f t="shared" si="59"/>
        <v>7.2095322131611713E-13</v>
      </c>
      <c r="J64" s="117">
        <f t="shared" si="60"/>
        <v>7.2095322131611713E-13</v>
      </c>
    </row>
    <row r="65" spans="1:10" ht="15">
      <c r="A65" s="109" t="s">
        <v>31</v>
      </c>
      <c r="B65" s="109" t="s">
        <v>59</v>
      </c>
      <c r="C65" s="128"/>
      <c r="D65" s="130"/>
      <c r="E65" s="119">
        <f>SUM(E66:E78)</f>
        <v>80.738832598863539</v>
      </c>
      <c r="F65" s="126">
        <f t="shared" ref="F65:G65" si="64">SUM(F66:F78)</f>
        <v>3.0259558016465728E-3</v>
      </c>
      <c r="G65" s="121">
        <f t="shared" si="64"/>
        <v>80.741858554665171</v>
      </c>
      <c r="H65" s="119">
        <f t="shared" si="58"/>
        <v>2.9873368061579542</v>
      </c>
      <c r="I65" s="120">
        <f t="shared" si="59"/>
        <v>1.119603646609233E-4</v>
      </c>
      <c r="J65" s="121">
        <f t="shared" si="60"/>
        <v>2.9874487665226144</v>
      </c>
    </row>
    <row r="66" spans="1:10" ht="15">
      <c r="A66" s="113" t="s">
        <v>191</v>
      </c>
      <c r="B66" s="114">
        <v>1</v>
      </c>
      <c r="C66" s="128"/>
      <c r="D66" s="129"/>
      <c r="E66" s="115">
        <f>IFERROR(VLOOKUP("Rn-222",$A$4:$J$32,3)*VLOOKUP("Rn-222",Doses!$A$1:$O$40,8)*$B66,0)</f>
        <v>1.3134114583333332E-2</v>
      </c>
      <c r="F66" s="127">
        <f>IFERROR(VLOOKUP("Rn-222",$A$4:$J$32,4)*VLOOKUP("Rn-222",Doses!$A$1:$O$40,10)*$B66,0)</f>
        <v>6.3413304041095888E-7</v>
      </c>
      <c r="G66" s="117">
        <f t="shared" ref="G66:G67" si="65">SUM(E66:F66)</f>
        <v>1.3134748716373743E-2</v>
      </c>
      <c r="H66" s="115">
        <f t="shared" si="58"/>
        <v>4.859622395833338E-4</v>
      </c>
      <c r="I66" s="116">
        <f t="shared" si="59"/>
        <v>2.3462922495205502E-8</v>
      </c>
      <c r="J66" s="117">
        <f t="shared" si="60"/>
        <v>4.8598570250582898E-4</v>
      </c>
    </row>
    <row r="67" spans="1:10" ht="15">
      <c r="A67" s="113" t="s">
        <v>192</v>
      </c>
      <c r="B67" s="114">
        <v>1</v>
      </c>
      <c r="C67" s="128"/>
      <c r="D67" s="129"/>
      <c r="E67" s="115">
        <f>IFERROR(VLOOKUP("Po-218",$A$4:$J$32,3)*VLOOKUP("Po-218",Doses!$A$1:$O$40,8)*$B67,0)</f>
        <v>1.5279687499999998E-2</v>
      </c>
      <c r="F67" s="127">
        <f>IFERROR(VLOOKUP("Po-218",$A$4:$J$32,4)*VLOOKUP("Po-218",Doses!$A$1:$O$40,10)*$B67,0)</f>
        <v>9.6036333287671233E-11</v>
      </c>
      <c r="G67" s="117">
        <f t="shared" si="65"/>
        <v>1.5279687596036332E-2</v>
      </c>
      <c r="H67" s="115">
        <f t="shared" si="58"/>
        <v>5.6534843750000055E-4</v>
      </c>
      <c r="I67" s="116">
        <f t="shared" si="59"/>
        <v>3.5533443316438391E-12</v>
      </c>
      <c r="J67" s="117">
        <f t="shared" si="60"/>
        <v>5.653484410533448E-4</v>
      </c>
    </row>
    <row r="68" spans="1:10" ht="15">
      <c r="A68" s="113" t="s">
        <v>194</v>
      </c>
      <c r="B68" s="114">
        <v>2.0000000000000001E-4</v>
      </c>
      <c r="C68" s="128"/>
      <c r="D68" s="129"/>
      <c r="E68" s="115">
        <f>IFERROR(VLOOKUP("At-218",$A$4:$J$32,3)*VLOOKUP("At-218",Doses!$A$1:$O$40,8)*$B68,0)</f>
        <v>0</v>
      </c>
      <c r="F68" s="127">
        <f>IFERROR(VLOOKUP("At-218",$A$4:$J$32,4)*VLOOKUP("At-218",Doses!$A$1:$O$40,10)*$B68,0)</f>
        <v>7.1843974520547959E-12</v>
      </c>
      <c r="G68" s="117">
        <f>SUM(E68:F68)</f>
        <v>7.1843974520547959E-12</v>
      </c>
      <c r="H68" s="115">
        <f t="shared" si="58"/>
        <v>0</v>
      </c>
      <c r="I68" s="116">
        <f t="shared" si="59"/>
        <v>2.658227057260277E-13</v>
      </c>
      <c r="J68" s="117">
        <f t="shared" si="60"/>
        <v>2.658227057260277E-13</v>
      </c>
    </row>
    <row r="69" spans="1:10" ht="15">
      <c r="A69" s="113" t="s">
        <v>196</v>
      </c>
      <c r="B69" s="114">
        <v>1.9999999999999999E-7</v>
      </c>
      <c r="C69" s="128"/>
      <c r="D69" s="129"/>
      <c r="E69" s="115">
        <f>IFERROR(VLOOKUP("Rn-218",$A$4:$J$32,3)*VLOOKUP("Rn-218",Doses!$A$1:$O$40,8)*$B69,0)</f>
        <v>0</v>
      </c>
      <c r="F69" s="127">
        <f>IFERROR(VLOOKUP("Rn-218",$A$4:$J$32,4)*VLOOKUP("Rn-218",Doses!$A$1:$O$40,10)*$B69,0)</f>
        <v>2.4925460547945203E-13</v>
      </c>
      <c r="G69" s="117">
        <f>SUM(E69:F69)</f>
        <v>2.4925460547945203E-13</v>
      </c>
      <c r="H69" s="115">
        <f t="shared" si="58"/>
        <v>0</v>
      </c>
      <c r="I69" s="116">
        <f t="shared" si="59"/>
        <v>9.2224204027397348E-15</v>
      </c>
      <c r="J69" s="117">
        <f t="shared" si="60"/>
        <v>9.2224204027397348E-15</v>
      </c>
    </row>
    <row r="70" spans="1:10" ht="15">
      <c r="A70" s="113" t="s">
        <v>193</v>
      </c>
      <c r="B70" s="114">
        <v>0.99980000000000002</v>
      </c>
      <c r="C70" s="128"/>
      <c r="D70" s="129"/>
      <c r="E70" s="115">
        <f>IFERROR(VLOOKUP("Pb-214",$A$4:$J$32,3)*VLOOKUP("Pb-214",Doses!$A$1:$O$40,8)*$B70,0)</f>
        <v>9.342401979166666E-2</v>
      </c>
      <c r="F70" s="127">
        <f>IFERROR(VLOOKUP("Pb-214",$A$4:$J$32,4)*VLOOKUP("Pb-214",Doses!$A$1:$O$40,10)*$B70,0)</f>
        <v>4.0679011405849315E-4</v>
      </c>
      <c r="G70" s="117">
        <f t="shared" ref="G70:G75" si="66">SUM(E70:F70)</f>
        <v>9.3830809905725149E-2</v>
      </c>
      <c r="H70" s="115">
        <f t="shared" si="58"/>
        <v>3.4566887322916699E-3</v>
      </c>
      <c r="I70" s="116">
        <f t="shared" si="59"/>
        <v>1.5051234220164262E-5</v>
      </c>
      <c r="J70" s="117">
        <f t="shared" si="60"/>
        <v>3.4717399665118338E-3</v>
      </c>
    </row>
    <row r="71" spans="1:10" ht="15">
      <c r="A71" s="113" t="s">
        <v>195</v>
      </c>
      <c r="B71" s="114">
        <v>0.99999979999999999</v>
      </c>
      <c r="C71" s="128"/>
      <c r="D71" s="129"/>
      <c r="E71" s="115">
        <f>IFERROR(VLOOKUP("Bi-214",$A$4:$J$32,3)*VLOOKUP("Bi-214",Doses!$A$1:$O$40,8)*$B71,0)</f>
        <v>7.339061032187498E-2</v>
      </c>
      <c r="F71" s="127">
        <f>IFERROR(VLOOKUP("Bi-214",$A$4:$J$32,4)*VLOOKUP("Bi-214",Doses!$A$1:$O$40,10)*$B71,0)</f>
        <v>2.6061763095865517E-3</v>
      </c>
      <c r="G71" s="117">
        <f t="shared" si="66"/>
        <v>7.5996786631461533E-2</v>
      </c>
      <c r="H71" s="115">
        <f t="shared" si="58"/>
        <v>2.7154525819093772E-3</v>
      </c>
      <c r="I71" s="116">
        <f t="shared" si="59"/>
        <v>9.6428523454702509E-5</v>
      </c>
      <c r="J71" s="117">
        <f t="shared" si="60"/>
        <v>2.8118811053640795E-3</v>
      </c>
    </row>
    <row r="72" spans="1:10" ht="15">
      <c r="A72" s="113" t="s">
        <v>197</v>
      </c>
      <c r="B72" s="114">
        <v>0.99979000004200003</v>
      </c>
      <c r="C72" s="128"/>
      <c r="D72" s="129"/>
      <c r="E72" s="115">
        <f>IFERROR(VLOOKUP("Po-214",$A$4:$J$32,3)*VLOOKUP("Po-214",Doses!$A$1:$O$40,8)*$B72,0)</f>
        <v>0</v>
      </c>
      <c r="F72" s="127">
        <f>IFERROR(VLOOKUP("Po-214",$A$4:$J$32,4)*VLOOKUP("Po-214",Doses!$A$1:$O$40,10)*$B72,0)</f>
        <v>1.3926008760095975E-7</v>
      </c>
      <c r="G72" s="117">
        <f t="shared" si="66"/>
        <v>1.3926008760095975E-7</v>
      </c>
      <c r="H72" s="115">
        <f t="shared" si="58"/>
        <v>0</v>
      </c>
      <c r="I72" s="116">
        <f t="shared" si="59"/>
        <v>5.1526232412355157E-9</v>
      </c>
      <c r="J72" s="117">
        <f t="shared" si="60"/>
        <v>5.1526232412355157E-9</v>
      </c>
    </row>
    <row r="73" spans="1:10" ht="15">
      <c r="A73" s="113" t="s">
        <v>198</v>
      </c>
      <c r="B73" s="114">
        <v>2.0999995799999999E-4</v>
      </c>
      <c r="C73" s="128"/>
      <c r="D73" s="129"/>
      <c r="E73" s="115">
        <f>IFERROR(VLOOKUP("Tl-210",$A$4:$J$32,3)*VLOOKUP("Tl-210",Doses!$A$1:$O$40,8)*$B73,0)</f>
        <v>0</v>
      </c>
      <c r="F73" s="127">
        <f>IFERROR(VLOOKUP("Tl-210",$A$4:$J$32,4)*VLOOKUP("Tl-210",Doses!$A$1:$O$40,10)*$B73,0)</f>
        <v>1.0160788650033644E-6</v>
      </c>
      <c r="G73" s="117">
        <f t="shared" si="66"/>
        <v>1.0160788650033644E-6</v>
      </c>
      <c r="H73" s="115">
        <f t="shared" si="58"/>
        <v>0</v>
      </c>
      <c r="I73" s="116">
        <f t="shared" si="59"/>
        <v>3.7594918005124523E-8</v>
      </c>
      <c r="J73" s="117">
        <f t="shared" si="60"/>
        <v>3.7594918005124523E-8</v>
      </c>
    </row>
    <row r="74" spans="1:10" ht="15">
      <c r="A74" s="113" t="s">
        <v>199</v>
      </c>
      <c r="B74" s="114">
        <v>1</v>
      </c>
      <c r="C74" s="128"/>
      <c r="D74" s="129"/>
      <c r="E74" s="115">
        <f>IFERROR(VLOOKUP("Pb-210",$A$4:$J$32,3)*VLOOKUP("Pb-210",Doses!$A$1:$O$40,8)*$B74,0)</f>
        <v>44.738203124999998</v>
      </c>
      <c r="F74" s="127">
        <f>IFERROR(VLOOKUP("Pb-210",$A$4:$J$32,4)*VLOOKUP("Pb-210",Doses!$A$1:$O$40,10)*$B74,0)</f>
        <v>1.7264546938356166E-6</v>
      </c>
      <c r="G74" s="117">
        <f t="shared" si="66"/>
        <v>44.73820485145469</v>
      </c>
      <c r="H74" s="115">
        <f t="shared" si="58"/>
        <v>1.6553135156250016</v>
      </c>
      <c r="I74" s="116">
        <f t="shared" si="59"/>
        <v>6.3878823671917877E-8</v>
      </c>
      <c r="J74" s="117">
        <f t="shared" si="60"/>
        <v>1.6553135795038252</v>
      </c>
    </row>
    <row r="75" spans="1:10" ht="15">
      <c r="A75" s="113" t="s">
        <v>200</v>
      </c>
      <c r="B75" s="114">
        <v>1</v>
      </c>
      <c r="C75" s="128"/>
      <c r="D75" s="129"/>
      <c r="E75" s="115">
        <f>IFERROR(VLOOKUP("Bi-210",$A$4:$J$32,3)*VLOOKUP("Bi-210",Doses!$A$1:$O$40,8)*$B75,0)</f>
        <v>1.0832135416666666</v>
      </c>
      <c r="F75" s="127">
        <f>IFERROR(VLOOKUP("Bi-210",$A$4:$J$32,4)*VLOOKUP("Bi-210",Doses!$A$1:$O$40,10)*$B75,0)</f>
        <v>9.4570129726027396E-6</v>
      </c>
      <c r="G75" s="117">
        <f t="shared" si="66"/>
        <v>1.0832229986796391</v>
      </c>
      <c r="H75" s="115">
        <f t="shared" si="58"/>
        <v>4.0078901041666705E-2</v>
      </c>
      <c r="I75" s="116">
        <f t="shared" si="59"/>
        <v>3.4990947998630174E-7</v>
      </c>
      <c r="J75" s="117">
        <f t="shared" si="60"/>
        <v>4.0079250951146686E-2</v>
      </c>
    </row>
    <row r="76" spans="1:10" ht="15">
      <c r="A76" s="113" t="s">
        <v>202</v>
      </c>
      <c r="B76" s="114">
        <v>1</v>
      </c>
      <c r="C76" s="128"/>
      <c r="D76" s="129"/>
      <c r="E76" s="115">
        <f>IFERROR(VLOOKUP("Po-210",$A$4:$J$32,3)*VLOOKUP("Po-210",Doses!$A$1:$O$40,8)*$B76,0)</f>
        <v>34.722187499999997</v>
      </c>
      <c r="F76" s="127">
        <f>IFERROR(VLOOKUP("Po-210",$A$4:$J$32,4)*VLOOKUP("Po-210",Doses!$A$1:$O$40,10)*$B76,0)</f>
        <v>1.631151462328767E-8</v>
      </c>
      <c r="G76" s="117">
        <f>SUM(E76:F76)</f>
        <v>34.722187516311514</v>
      </c>
      <c r="H76" s="115">
        <f t="shared" si="58"/>
        <v>1.2847209375000013</v>
      </c>
      <c r="I76" s="116">
        <f t="shared" si="59"/>
        <v>6.0352604106164436E-10</v>
      </c>
      <c r="J76" s="117">
        <f t="shared" si="60"/>
        <v>1.2847209381035274</v>
      </c>
    </row>
    <row r="77" spans="1:10" ht="15">
      <c r="A77" s="113" t="s">
        <v>201</v>
      </c>
      <c r="B77" s="114">
        <v>1.9000000000000001E-8</v>
      </c>
      <c r="C77" s="128"/>
      <c r="D77" s="129"/>
      <c r="E77" s="115">
        <f>IFERROR(VLOOKUP("Hg-206",$A$4:$J$32,3)*VLOOKUP("Hg-206",Doses!$A$1:$O$40,8)*$B77,0)</f>
        <v>0</v>
      </c>
      <c r="F77" s="127">
        <f>IFERROR(VLOOKUP("Hg-206",$A$4:$J$32,4)*VLOOKUP("Hg-206",Doses!$A$1:$O$40,10)*$B77,0)</f>
        <v>3.8722436063013695E-12</v>
      </c>
      <c r="G77" s="117">
        <f t="shared" ref="G77:G78" si="67">SUM(E77:F77)</f>
        <v>3.8722436063013695E-12</v>
      </c>
      <c r="H77" s="115">
        <f t="shared" si="58"/>
        <v>0</v>
      </c>
      <c r="I77" s="116">
        <f t="shared" si="59"/>
        <v>1.4327301343315081E-13</v>
      </c>
      <c r="J77" s="117">
        <f t="shared" si="60"/>
        <v>1.4327301343315081E-13</v>
      </c>
    </row>
    <row r="78" spans="1:10" ht="15">
      <c r="A78" s="113" t="s">
        <v>203</v>
      </c>
      <c r="B78" s="114">
        <v>1.339E-6</v>
      </c>
      <c r="C78" s="128"/>
      <c r="D78" s="129"/>
      <c r="E78" s="115">
        <f>IFERROR(VLOOKUP("Tl-206",$A$4:$J$32,3)*VLOOKUP("Tl-206",Doses!$A$1:$O$40,8)*$B78,0)</f>
        <v>0</v>
      </c>
      <c r="F78" s="127">
        <f>IFERROR(VLOOKUP("Tl-206",$A$4:$J$32,4)*VLOOKUP("Tl-206",Doses!$A$1:$O$40,10)*$B78,0)</f>
        <v>1.9485222197732876E-11</v>
      </c>
      <c r="G78" s="117">
        <f t="shared" si="67"/>
        <v>1.9485222197732876E-11</v>
      </c>
      <c r="H78" s="115">
        <f t="shared" si="58"/>
        <v>0</v>
      </c>
      <c r="I78" s="116">
        <f t="shared" si="59"/>
        <v>7.2095322131611713E-13</v>
      </c>
      <c r="J78" s="117">
        <f t="shared" si="60"/>
        <v>7.2095322131611713E-13</v>
      </c>
    </row>
  </sheetData>
  <sheetProtection algorithmName="SHA-512" hashValue="S1Y4hagdfk3bTeQ27ks4+FSY+X60MM6r49EV3DAp225kcYdQgPWW/k9UyUpvDx/zLbuleff/siIlL5anXjxorQ==" saltValue="tG2AtiYykWwqnSFdCQsuPQ==" spinCount="100000" sheet="1" formatCells="0" formatColumns="0" formatRows="0" insertColumns="0" insertRows="0" autoFilter="0"/>
  <autoFilter ref="A2:J78" xr:uid="{00000000-0009-0000-0000-000012000000}"/>
  <mergeCells count="3">
    <mergeCell ref="E1:G1"/>
    <mergeCell ref="H1:J1"/>
    <mergeCell ref="C1:D1"/>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0"/>
  <sheetViews>
    <sheetView workbookViewId="0">
      <pane xSplit="2" ySplit="1" topLeftCell="C2" activePane="bottomRight" state="frozen"/>
      <selection pane="topRight" activeCell="G1" sqref="G1"/>
      <selection pane="bottomLeft" activeCell="A2" sqref="A2"/>
      <selection pane="bottomRight" activeCell="C2" sqref="C2"/>
    </sheetView>
  </sheetViews>
  <sheetFormatPr defaultRowHeight="12.75"/>
  <cols>
    <col min="1" max="1" width="12.5703125" style="80" bestFit="1" customWidth="1"/>
    <col min="2" max="2" width="8" style="80" bestFit="1" customWidth="1"/>
    <col min="3" max="4" width="15" style="93" bestFit="1" customWidth="1"/>
    <col min="5" max="5" width="12" style="93" bestFit="1" customWidth="1"/>
    <col min="6" max="7" width="14.140625" style="93" bestFit="1" customWidth="1"/>
    <col min="8" max="8" width="12" style="93" bestFit="1" customWidth="1"/>
    <col min="9" max="9" width="12.42578125" style="93" bestFit="1" customWidth="1"/>
    <col min="10" max="10" width="15.140625" style="93" bestFit="1" customWidth="1"/>
    <col min="11" max="11" width="15" style="93" bestFit="1" customWidth="1"/>
    <col min="12" max="12" width="14" style="93" bestFit="1" customWidth="1"/>
    <col min="13" max="14" width="14.85546875" style="93" bestFit="1" customWidth="1"/>
    <col min="15" max="15" width="16" style="93" bestFit="1" customWidth="1"/>
    <col min="16" max="16384" width="9.140625" style="80"/>
  </cols>
  <sheetData>
    <row r="1" spans="1:15">
      <c r="A1" s="82" t="s">
        <v>0</v>
      </c>
      <c r="B1" s="82" t="s">
        <v>43</v>
      </c>
      <c r="C1" s="91" t="s">
        <v>1</v>
      </c>
      <c r="D1" s="91" t="s">
        <v>2</v>
      </c>
      <c r="E1" s="91" t="s">
        <v>3</v>
      </c>
      <c r="F1" s="91" t="s">
        <v>4</v>
      </c>
      <c r="G1" s="91" t="s">
        <v>5</v>
      </c>
      <c r="H1" s="91" t="s">
        <v>6</v>
      </c>
      <c r="I1" s="91" t="s">
        <v>7</v>
      </c>
      <c r="J1" s="91" t="s">
        <v>8</v>
      </c>
      <c r="K1" s="91" t="s">
        <v>9</v>
      </c>
      <c r="L1" s="91" t="s">
        <v>10</v>
      </c>
      <c r="M1" s="91" t="s">
        <v>11</v>
      </c>
      <c r="N1" s="91" t="s">
        <v>12</v>
      </c>
      <c r="O1" s="91" t="s">
        <v>13</v>
      </c>
    </row>
    <row r="2" spans="1:15">
      <c r="A2" s="87" t="s">
        <v>23</v>
      </c>
      <c r="B2" s="12" t="s">
        <v>59</v>
      </c>
      <c r="C2" s="92">
        <v>1.4281999999999999E-4</v>
      </c>
      <c r="D2" s="92">
        <v>1.9351000000000001E-4</v>
      </c>
      <c r="E2" s="92">
        <v>1.9351000000000001E-4</v>
      </c>
      <c r="F2" s="92">
        <v>3.1376000000000001E-2</v>
      </c>
      <c r="G2" s="92">
        <v>3.3966000000000003E-2</v>
      </c>
      <c r="H2" s="92">
        <v>3.3966000000000003E-2</v>
      </c>
      <c r="I2" s="92">
        <v>5.2864399999999999E-2</v>
      </c>
      <c r="J2" s="92">
        <v>6.6087925919999994E-5</v>
      </c>
      <c r="K2" s="92">
        <v>1.4712153120000001E-4</v>
      </c>
      <c r="L2" s="92">
        <v>1.54308E-2</v>
      </c>
      <c r="M2" s="92">
        <v>1.4589080000000001E-2</v>
      </c>
      <c r="N2" s="92">
        <v>3.8107200000000001E-2</v>
      </c>
      <c r="O2" s="92">
        <v>5.1369999999999999E-2</v>
      </c>
    </row>
    <row r="3" spans="1:15">
      <c r="A3" s="88" t="s">
        <v>14</v>
      </c>
      <c r="B3" s="12" t="s">
        <v>44</v>
      </c>
      <c r="C3" s="92">
        <v>7.5480000000000002E-4</v>
      </c>
      <c r="D3" s="92">
        <v>8.8060000000000005E-4</v>
      </c>
      <c r="E3" s="92">
        <v>8.8060000000000005E-4</v>
      </c>
      <c r="F3" s="92">
        <v>0.35668</v>
      </c>
      <c r="G3" s="92">
        <v>0.36297000000000001</v>
      </c>
      <c r="H3" s="92">
        <v>0.36297000000000001</v>
      </c>
      <c r="I3" s="92">
        <v>3.7173200000000003E-2</v>
      </c>
      <c r="J3" s="92">
        <v>7.8464816639999994E-5</v>
      </c>
      <c r="K3" s="92">
        <v>1.7981520480000001E-4</v>
      </c>
      <c r="L3" s="92">
        <v>2.5484199999999999E-2</v>
      </c>
      <c r="M3" s="92">
        <v>1.83064E-2</v>
      </c>
      <c r="N3" s="92">
        <v>3.4557999999999998E-2</v>
      </c>
      <c r="O3" s="92">
        <v>3.7173200000000003E-2</v>
      </c>
    </row>
    <row r="4" spans="1:15">
      <c r="A4" s="87" t="s">
        <v>15</v>
      </c>
      <c r="B4" s="12" t="s">
        <v>59</v>
      </c>
      <c r="C4" s="92">
        <v>0</v>
      </c>
      <c r="D4" s="92">
        <v>0</v>
      </c>
      <c r="E4" s="92">
        <v>0</v>
      </c>
      <c r="F4" s="92">
        <v>0</v>
      </c>
      <c r="G4" s="92">
        <v>0</v>
      </c>
      <c r="H4" s="92">
        <v>0</v>
      </c>
      <c r="I4" s="92">
        <v>1.18618E-3</v>
      </c>
      <c r="J4" s="92">
        <v>1.237689072E-6</v>
      </c>
      <c r="K4" s="92">
        <v>2.697228072E-6</v>
      </c>
      <c r="L4" s="92">
        <v>2.6536300000000001E-4</v>
      </c>
      <c r="M4" s="92">
        <v>2.6899200000000002E-4</v>
      </c>
      <c r="N4" s="92">
        <v>7.5093600000000001E-4</v>
      </c>
      <c r="O4" s="92">
        <v>1.109592E-3</v>
      </c>
    </row>
    <row r="5" spans="1:15">
      <c r="A5" s="87" t="s">
        <v>16</v>
      </c>
      <c r="B5" s="89" t="s">
        <v>59</v>
      </c>
      <c r="C5" s="92">
        <v>0</v>
      </c>
      <c r="D5" s="92">
        <v>0</v>
      </c>
      <c r="E5" s="92">
        <v>0</v>
      </c>
      <c r="F5" s="92">
        <v>0</v>
      </c>
      <c r="G5" s="92">
        <v>0</v>
      </c>
      <c r="H5" s="92">
        <v>0</v>
      </c>
      <c r="I5" s="92">
        <v>5.56664E-5</v>
      </c>
      <c r="J5" s="92">
        <v>1.144278576E-7</v>
      </c>
      <c r="K5" s="92">
        <v>1.4595389999999999E-7</v>
      </c>
      <c r="L5" s="92">
        <v>1.4612499999999999E-4</v>
      </c>
      <c r="M5" s="92">
        <v>3.1569200000000003E-5</v>
      </c>
      <c r="N5" s="92">
        <v>4.4271599999999998E-5</v>
      </c>
      <c r="O5" s="92">
        <v>5.3424799999999997E-5</v>
      </c>
    </row>
    <row r="6" spans="1:15">
      <c r="A6" s="87" t="s">
        <v>18</v>
      </c>
      <c r="B6" s="12" t="s">
        <v>59</v>
      </c>
      <c r="C6" s="92">
        <v>0</v>
      </c>
      <c r="D6" s="92">
        <v>0</v>
      </c>
      <c r="E6" s="92">
        <v>0</v>
      </c>
      <c r="F6" s="92">
        <v>0</v>
      </c>
      <c r="G6" s="92">
        <v>0</v>
      </c>
      <c r="H6" s="92">
        <v>0</v>
      </c>
      <c r="I6" s="92">
        <v>3.3810799999999999</v>
      </c>
      <c r="J6" s="92">
        <v>3.1409279280000002E-3</v>
      </c>
      <c r="K6" s="92">
        <v>6.8072898960000001E-3</v>
      </c>
      <c r="L6" s="92">
        <v>0.67451300000000003</v>
      </c>
      <c r="M6" s="92">
        <v>0.67247999999999997</v>
      </c>
      <c r="N6" s="92">
        <v>1.92404</v>
      </c>
      <c r="O6" s="92">
        <v>3.0074800000000002</v>
      </c>
    </row>
    <row r="7" spans="1:15">
      <c r="A7" s="87" t="s">
        <v>19</v>
      </c>
      <c r="B7" s="90" t="s">
        <v>59</v>
      </c>
      <c r="C7" s="92">
        <v>4.8470000000000003E-6</v>
      </c>
      <c r="D7" s="92">
        <v>6.6599999999999998E-6</v>
      </c>
      <c r="E7" s="92">
        <v>6.6599999999999998E-6</v>
      </c>
      <c r="F7" s="92">
        <v>4.9209999999999998E-4</v>
      </c>
      <c r="G7" s="92">
        <v>5.4020000000000001E-4</v>
      </c>
      <c r="H7" s="92">
        <v>5.4020000000000001E-4</v>
      </c>
      <c r="I7" s="92">
        <v>5.4732399999999999E-3</v>
      </c>
      <c r="J7" s="92">
        <v>3.012488496E-5</v>
      </c>
      <c r="K7" s="92">
        <v>3.479540976E-5</v>
      </c>
      <c r="L7" s="92">
        <v>4.1031900000000003E-2</v>
      </c>
      <c r="M7" s="92">
        <v>3.13824E-3</v>
      </c>
      <c r="N7" s="92">
        <v>4.5392399999999999E-3</v>
      </c>
      <c r="O7" s="92">
        <v>5.3611600000000002E-3</v>
      </c>
    </row>
    <row r="8" spans="1:15">
      <c r="A8" s="87" t="s">
        <v>20</v>
      </c>
      <c r="B8" s="12" t="s">
        <v>59</v>
      </c>
      <c r="C8" s="92">
        <v>7.3259999999999998E-7</v>
      </c>
      <c r="D8" s="92">
        <v>9.9159999999999996E-7</v>
      </c>
      <c r="E8" s="92">
        <v>9.9159999999999996E-7</v>
      </c>
      <c r="F8" s="92">
        <v>1.184E-4</v>
      </c>
      <c r="G8" s="92">
        <v>1.3134999999999999E-4</v>
      </c>
      <c r="H8" s="92">
        <v>1.3134999999999999E-4</v>
      </c>
      <c r="I8" s="92">
        <v>0.68742400000000004</v>
      </c>
      <c r="J8" s="92">
        <v>6.9357293280000005E-4</v>
      </c>
      <c r="K8" s="92">
        <v>1.4712153119999999E-3</v>
      </c>
      <c r="L8" s="92">
        <v>0.191716</v>
      </c>
      <c r="M8" s="92">
        <v>0.148506</v>
      </c>
      <c r="N8" s="92">
        <v>0.41469600000000001</v>
      </c>
      <c r="O8" s="92">
        <v>0.62951599999999996</v>
      </c>
    </row>
    <row r="9" spans="1:15">
      <c r="A9" s="87" t="s">
        <v>21</v>
      </c>
      <c r="B9" s="90" t="s">
        <v>59</v>
      </c>
      <c r="C9" s="92">
        <v>4.144E-7</v>
      </c>
      <c r="D9" s="92">
        <v>5.5130000000000002E-7</v>
      </c>
      <c r="E9" s="92">
        <v>5.5130000000000002E-7</v>
      </c>
      <c r="F9" s="92">
        <v>3.5899999999999998E-5</v>
      </c>
      <c r="G9" s="92">
        <v>3.6600000000000002E-5</v>
      </c>
      <c r="H9" s="92">
        <v>3.6600000000000002E-5</v>
      </c>
      <c r="I9" s="92">
        <v>9.1345200000000002</v>
      </c>
      <c r="J9" s="92">
        <v>8.3018578319999994E-3</v>
      </c>
      <c r="K9" s="92">
        <v>1.7981520479999999E-2</v>
      </c>
      <c r="L9" s="92">
        <v>1.65998</v>
      </c>
      <c r="M9" s="92">
        <v>1.6288959999999999</v>
      </c>
      <c r="N9" s="92">
        <v>4.7073600000000004</v>
      </c>
      <c r="O9" s="92">
        <v>7.6214399999999998</v>
      </c>
    </row>
    <row r="10" spans="1:15">
      <c r="A10" s="88" t="s">
        <v>17</v>
      </c>
      <c r="B10" s="12" t="s">
        <v>44</v>
      </c>
      <c r="C10" s="92">
        <v>5.0319999999999999E-5</v>
      </c>
      <c r="D10" s="92">
        <v>4.9209999999999998E-5</v>
      </c>
      <c r="E10" s="92">
        <v>4.9209999999999998E-5</v>
      </c>
      <c r="F10" s="92">
        <v>1.4578E-4</v>
      </c>
      <c r="G10" s="92">
        <v>1.5428999999999999E-4</v>
      </c>
      <c r="H10" s="92">
        <v>1.5428999999999999E-4</v>
      </c>
      <c r="I10" s="92">
        <v>8.6861999999999996E-4</v>
      </c>
      <c r="J10" s="92">
        <v>1.0975733279999999E-5</v>
      </c>
      <c r="K10" s="92">
        <v>1.22601276E-5</v>
      </c>
      <c r="L10" s="92">
        <v>3.6589700000000001E-3</v>
      </c>
      <c r="M10" s="92">
        <v>4.0161999999999999E-4</v>
      </c>
      <c r="N10" s="92">
        <v>7.0049999999999995E-4</v>
      </c>
      <c r="O10" s="92">
        <v>8.5367600000000004E-4</v>
      </c>
    </row>
    <row r="11" spans="1:15">
      <c r="A11" s="87" t="s">
        <v>24</v>
      </c>
      <c r="B11" s="12" t="s">
        <v>59</v>
      </c>
      <c r="C11" s="92">
        <v>0</v>
      </c>
      <c r="D11" s="92">
        <v>0</v>
      </c>
      <c r="E11" s="92">
        <v>0</v>
      </c>
      <c r="F11" s="92">
        <v>0</v>
      </c>
      <c r="G11" s="92">
        <v>0</v>
      </c>
      <c r="H11" s="92">
        <v>0</v>
      </c>
      <c r="I11" s="92">
        <v>0.13318840000000001</v>
      </c>
      <c r="J11" s="92">
        <v>1.459539E-4</v>
      </c>
      <c r="K11" s="92">
        <v>3.2109857999999998E-4</v>
      </c>
      <c r="L11" s="92">
        <v>3.1446099999999998E-2</v>
      </c>
      <c r="M11" s="92">
        <v>3.19428E-2</v>
      </c>
      <c r="N11" s="92">
        <v>8.9290400000000006E-2</v>
      </c>
      <c r="O11" s="92">
        <v>0.1281448</v>
      </c>
    </row>
    <row r="12" spans="1:15">
      <c r="A12" s="87" t="s">
        <v>22</v>
      </c>
      <c r="B12" s="89" t="s">
        <v>59</v>
      </c>
      <c r="C12" s="92">
        <v>0</v>
      </c>
      <c r="D12" s="92">
        <v>0</v>
      </c>
      <c r="E12" s="92">
        <v>0</v>
      </c>
      <c r="F12" s="92">
        <v>0</v>
      </c>
      <c r="G12" s="92">
        <v>0</v>
      </c>
      <c r="H12" s="92">
        <v>0</v>
      </c>
      <c r="I12" s="92">
        <v>0.61270400000000003</v>
      </c>
      <c r="J12" s="92">
        <v>6.4920294719999995E-4</v>
      </c>
      <c r="K12" s="92">
        <v>1.3894811280000001E-3</v>
      </c>
      <c r="L12" s="92">
        <v>0.174181</v>
      </c>
      <c r="M12" s="92">
        <v>0.1386056</v>
      </c>
      <c r="N12" s="92">
        <v>0.38667600000000002</v>
      </c>
      <c r="O12" s="92">
        <v>0.57347599999999999</v>
      </c>
    </row>
    <row r="13" spans="1:15">
      <c r="A13" s="87" t="s">
        <v>28</v>
      </c>
      <c r="B13" s="12" t="s">
        <v>59</v>
      </c>
      <c r="C13" s="92">
        <v>3.9589999999999997E-4</v>
      </c>
      <c r="D13" s="92">
        <v>4.6250000000000002E-4</v>
      </c>
      <c r="E13" s="92">
        <v>4.6250000000000002E-4</v>
      </c>
      <c r="F13" s="92">
        <v>4.403E-2</v>
      </c>
      <c r="G13" s="92">
        <v>4.6620000000000002E-2</v>
      </c>
      <c r="H13" s="92">
        <v>4.6620000000000002E-2</v>
      </c>
      <c r="I13" s="92">
        <v>6.7061200000000001E-2</v>
      </c>
      <c r="J13" s="92">
        <v>1.004162832E-4</v>
      </c>
      <c r="K13" s="92">
        <v>2.2535282160000001E-4</v>
      </c>
      <c r="L13" s="92">
        <v>2.85236E-2</v>
      </c>
      <c r="M13" s="92">
        <v>2.2415999999999998E-2</v>
      </c>
      <c r="N13" s="92">
        <v>5.3424800000000001E-2</v>
      </c>
      <c r="O13" s="92">
        <v>6.6874400000000001E-2</v>
      </c>
    </row>
    <row r="14" spans="1:15">
      <c r="A14" s="87" t="s">
        <v>29</v>
      </c>
      <c r="B14" s="12" t="s">
        <v>59</v>
      </c>
      <c r="C14" s="92">
        <v>3.5742E-6</v>
      </c>
      <c r="D14" s="92">
        <v>4.8840000000000002E-6</v>
      </c>
      <c r="E14" s="92">
        <v>4.8840000000000002E-6</v>
      </c>
      <c r="F14" s="92">
        <v>1.5318000000000001E-5</v>
      </c>
      <c r="G14" s="92">
        <v>1.6872E-5</v>
      </c>
      <c r="H14" s="92">
        <v>1.6872E-5</v>
      </c>
      <c r="I14" s="92">
        <v>1.01806</v>
      </c>
      <c r="J14" s="92">
        <v>1.0823941224000001E-3</v>
      </c>
      <c r="K14" s="92">
        <v>2.370291336E-3</v>
      </c>
      <c r="L14" s="92">
        <v>0.23613799999999999</v>
      </c>
      <c r="M14" s="92">
        <v>0.237236</v>
      </c>
      <c r="N14" s="92">
        <v>0.65940399999999999</v>
      </c>
      <c r="O14" s="92">
        <v>0.96388799999999997</v>
      </c>
    </row>
    <row r="15" spans="1:15">
      <c r="A15" s="87" t="s">
        <v>32</v>
      </c>
      <c r="B15" s="12" t="s">
        <v>59</v>
      </c>
      <c r="C15" s="92">
        <v>2.0979E-7</v>
      </c>
      <c r="D15" s="92">
        <v>2.7639E-7</v>
      </c>
      <c r="E15" s="92">
        <v>2.7639E-7</v>
      </c>
      <c r="F15" s="92">
        <v>2.2569999999999999E-7</v>
      </c>
      <c r="G15" s="92">
        <v>2.5825999999999998E-7</v>
      </c>
      <c r="H15" s="92">
        <v>2.5825999999999998E-7</v>
      </c>
      <c r="I15" s="92">
        <v>7.5280400000000004E-4</v>
      </c>
      <c r="J15" s="92">
        <v>1.1676312E-5</v>
      </c>
      <c r="K15" s="92">
        <v>1.3077469440000001E-5</v>
      </c>
      <c r="L15" s="92">
        <v>3.7291099999999999E-3</v>
      </c>
      <c r="M15" s="92">
        <v>2.9514400000000001E-4</v>
      </c>
      <c r="N15" s="92">
        <v>5.9589199999999999E-4</v>
      </c>
      <c r="O15" s="92">
        <v>7.4159599999999997E-4</v>
      </c>
    </row>
    <row r="16" spans="1:15">
      <c r="A16" s="87" t="s">
        <v>33</v>
      </c>
      <c r="B16" s="90" t="s">
        <v>59</v>
      </c>
      <c r="C16" s="92">
        <v>2.5752000000000001E-3</v>
      </c>
      <c r="D16" s="92">
        <v>3.774E-3</v>
      </c>
      <c r="E16" s="92">
        <v>3.774E-3</v>
      </c>
      <c r="F16" s="92">
        <v>2.0757000000000001E-2</v>
      </c>
      <c r="G16" s="92">
        <v>2.2311000000000001E-2</v>
      </c>
      <c r="H16" s="92">
        <v>2.2311000000000001E-2</v>
      </c>
      <c r="I16" s="92">
        <v>2.09216E-3</v>
      </c>
      <c r="J16" s="92">
        <v>5.4995429520000004E-6</v>
      </c>
      <c r="K16" s="92">
        <v>1.272718008E-5</v>
      </c>
      <c r="L16" s="92">
        <v>2.5367300000000001E-3</v>
      </c>
      <c r="M16" s="92">
        <v>1.3300160000000001E-3</v>
      </c>
      <c r="N16" s="92">
        <v>2.0547999999999999E-3</v>
      </c>
      <c r="O16" s="92">
        <v>2.09216E-3</v>
      </c>
    </row>
    <row r="17" spans="1:15">
      <c r="A17" s="87" t="s">
        <v>34</v>
      </c>
      <c r="B17" s="90" t="s">
        <v>59</v>
      </c>
      <c r="C17" s="92">
        <v>5.1429999999999999E-7</v>
      </c>
      <c r="D17" s="92">
        <v>7.3630000000000005E-7</v>
      </c>
      <c r="E17" s="92">
        <v>7.3630000000000005E-7</v>
      </c>
      <c r="F17" s="92">
        <v>4.4400000000000002E-5</v>
      </c>
      <c r="G17" s="92">
        <v>4.6600000000000001E-5</v>
      </c>
      <c r="H17" s="92">
        <v>4.6600000000000001E-5</v>
      </c>
      <c r="I17" s="92">
        <v>1.2571639999999999</v>
      </c>
      <c r="J17" s="92">
        <v>1.2960706319999999E-3</v>
      </c>
      <c r="K17" s="92">
        <v>2.8139911920000002E-3</v>
      </c>
      <c r="L17" s="92">
        <v>0.28406700000000001</v>
      </c>
      <c r="M17" s="92">
        <v>0.2802</v>
      </c>
      <c r="N17" s="92">
        <v>0.79016399999999998</v>
      </c>
      <c r="O17" s="92">
        <v>1.1749719999999999</v>
      </c>
    </row>
    <row r="18" spans="1:15">
      <c r="A18" s="87" t="s">
        <v>36</v>
      </c>
      <c r="B18" s="90" t="s">
        <v>59</v>
      </c>
      <c r="C18" s="92">
        <v>4.4770000000000001E-3</v>
      </c>
      <c r="D18" s="92">
        <v>6.4749999999999999E-3</v>
      </c>
      <c r="E18" s="92">
        <v>6.4749999999999999E-3</v>
      </c>
      <c r="F18" s="92">
        <v>1.5799000000000001E-2</v>
      </c>
      <c r="G18" s="92">
        <v>1.7316000000000002E-2</v>
      </c>
      <c r="H18" s="92">
        <v>1.7316000000000002E-2</v>
      </c>
      <c r="I18" s="92">
        <v>5.6413599999999998E-5</v>
      </c>
      <c r="J18" s="92">
        <v>5.1959588399999998E-8</v>
      </c>
      <c r="K18" s="92">
        <v>1.126764108E-7</v>
      </c>
      <c r="L18" s="92">
        <v>1.077818E-5</v>
      </c>
      <c r="M18" s="92">
        <v>1.094648E-5</v>
      </c>
      <c r="N18" s="92">
        <v>3.13824E-5</v>
      </c>
      <c r="O18" s="92">
        <v>4.9315199999999998E-5</v>
      </c>
    </row>
    <row r="19" spans="1:15">
      <c r="A19" s="87" t="s">
        <v>37</v>
      </c>
      <c r="B19" s="12" t="s">
        <v>59</v>
      </c>
      <c r="C19" s="92">
        <v>0</v>
      </c>
      <c r="D19" s="92">
        <v>0</v>
      </c>
      <c r="E19" s="92">
        <v>0</v>
      </c>
      <c r="F19" s="92">
        <v>0</v>
      </c>
      <c r="G19" s="92">
        <v>0</v>
      </c>
      <c r="H19" s="92">
        <v>0</v>
      </c>
      <c r="I19" s="92">
        <v>2.1668800000000001E-4</v>
      </c>
      <c r="J19" s="92">
        <v>1.996649352E-7</v>
      </c>
      <c r="K19" s="92">
        <v>4.3319117519999999E-7</v>
      </c>
      <c r="L19" s="92">
        <v>4.1733300000000002E-5</v>
      </c>
      <c r="M19" s="92">
        <v>4.2216799999999999E-5</v>
      </c>
      <c r="N19" s="92">
        <v>1.208596E-4</v>
      </c>
      <c r="O19" s="92">
        <v>1.9053599999999999E-4</v>
      </c>
    </row>
    <row r="20" spans="1:15">
      <c r="A20" s="87" t="s">
        <v>38</v>
      </c>
      <c r="B20" s="90" t="s">
        <v>59</v>
      </c>
      <c r="C20" s="92">
        <v>0</v>
      </c>
      <c r="D20" s="92">
        <v>0</v>
      </c>
      <c r="E20" s="92">
        <v>0</v>
      </c>
      <c r="F20" s="92">
        <v>0</v>
      </c>
      <c r="G20" s="92">
        <v>0</v>
      </c>
      <c r="H20" s="92">
        <v>0</v>
      </c>
      <c r="I20" s="92">
        <v>4.8007600000000002E-4</v>
      </c>
      <c r="J20" s="92">
        <v>4.4369985599999999E-7</v>
      </c>
      <c r="K20" s="92">
        <v>9.609604775999999E-7</v>
      </c>
      <c r="L20" s="92">
        <v>9.2000299999999994E-5</v>
      </c>
      <c r="M20" s="92">
        <v>9.3399999999999993E-5</v>
      </c>
      <c r="N20" s="92">
        <v>2.6712399999999999E-4</v>
      </c>
      <c r="O20" s="92">
        <v>4.22168E-4</v>
      </c>
    </row>
    <row r="21" spans="1:15">
      <c r="A21" s="87" t="s">
        <v>39</v>
      </c>
      <c r="B21" s="90" t="s">
        <v>59</v>
      </c>
      <c r="C21" s="92">
        <v>0</v>
      </c>
      <c r="D21" s="92">
        <v>0</v>
      </c>
      <c r="E21" s="92">
        <v>0</v>
      </c>
      <c r="F21" s="92">
        <v>7.4000000000000003E-6</v>
      </c>
      <c r="G21" s="92">
        <v>7.6199999999999999E-6</v>
      </c>
      <c r="H21" s="92">
        <v>7.6199999999999999E-6</v>
      </c>
      <c r="I21" s="92">
        <v>9.2279199999999993E-9</v>
      </c>
      <c r="J21" s="92">
        <v>3.0591937440000002E-10</v>
      </c>
      <c r="K21" s="92">
        <v>3.339425232E-10</v>
      </c>
      <c r="L21" s="92">
        <v>7.7738500000000008E-9</v>
      </c>
      <c r="M21" s="92">
        <v>4.3337599999999997E-9</v>
      </c>
      <c r="N21" s="92">
        <v>8.1071199999999996E-9</v>
      </c>
      <c r="O21" s="92">
        <v>9.2279199999999993E-9</v>
      </c>
    </row>
    <row r="22" spans="1:15">
      <c r="A22" s="87" t="s">
        <v>26</v>
      </c>
      <c r="B22" s="12" t="s">
        <v>59</v>
      </c>
      <c r="C22" s="92">
        <v>3.6852E-4</v>
      </c>
      <c r="D22" s="92">
        <v>8.8060000000000005E-4</v>
      </c>
      <c r="E22" s="92">
        <v>8.8060000000000005E-4</v>
      </c>
      <c r="F22" s="92">
        <v>2.8712000000000001E-2</v>
      </c>
      <c r="G22" s="92">
        <v>3.1116999999999999E-2</v>
      </c>
      <c r="H22" s="92">
        <v>3.1116999999999999E-2</v>
      </c>
      <c r="I22" s="92">
        <v>8.9103600000000008E-3</v>
      </c>
      <c r="J22" s="92">
        <v>2.8840490640000001E-5</v>
      </c>
      <c r="K22" s="92">
        <v>6.3402374159999994E-5</v>
      </c>
      <c r="L22" s="92">
        <v>1.2859000000000001E-2</v>
      </c>
      <c r="M22" s="92">
        <v>6.4632800000000001E-3</v>
      </c>
      <c r="N22" s="92">
        <v>8.8730000000000007E-3</v>
      </c>
      <c r="O22" s="92">
        <v>8.9103600000000008E-3</v>
      </c>
    </row>
    <row r="23" spans="1:15">
      <c r="A23" s="88" t="s">
        <v>27</v>
      </c>
      <c r="B23" s="90" t="s">
        <v>44</v>
      </c>
      <c r="C23" s="92">
        <v>1.036E-3</v>
      </c>
      <c r="D23" s="92">
        <v>1.6761E-3</v>
      </c>
      <c r="E23" s="92">
        <v>1.6761E-3</v>
      </c>
      <c r="F23" s="92">
        <v>3.5187000000000003E-2</v>
      </c>
      <c r="G23" s="92">
        <v>3.8109999999999998E-2</v>
      </c>
      <c r="H23" s="92">
        <v>3.8109999999999998E-2</v>
      </c>
      <c r="I23" s="92">
        <v>3.1756E-2</v>
      </c>
      <c r="J23" s="92">
        <v>3.631333032E-5</v>
      </c>
      <c r="K23" s="92">
        <v>7.9865974080000005E-5</v>
      </c>
      <c r="L23" s="92">
        <v>7.8089199999999996E-3</v>
      </c>
      <c r="M23" s="92">
        <v>7.9203199999999998E-3</v>
      </c>
      <c r="N23" s="92">
        <v>2.1855599999999999E-2</v>
      </c>
      <c r="O23" s="92">
        <v>3.10088E-2</v>
      </c>
    </row>
    <row r="24" spans="1:15">
      <c r="A24" s="87" t="s">
        <v>30</v>
      </c>
      <c r="B24" s="90" t="s">
        <v>59</v>
      </c>
      <c r="C24" s="92">
        <v>0</v>
      </c>
      <c r="D24" s="92">
        <v>0</v>
      </c>
      <c r="E24" s="92">
        <v>0</v>
      </c>
      <c r="F24" s="92">
        <v>0</v>
      </c>
      <c r="G24" s="92">
        <v>0</v>
      </c>
      <c r="H24" s="92">
        <v>0</v>
      </c>
      <c r="I24" s="92">
        <v>4.2590400000000004E-3</v>
      </c>
      <c r="J24" s="92">
        <v>3.9699460800000002E-6</v>
      </c>
      <c r="K24" s="92">
        <v>8.6287945679999992E-6</v>
      </c>
      <c r="L24" s="92">
        <v>8.4635600000000004E-4</v>
      </c>
      <c r="M24" s="92">
        <v>8.57412E-4</v>
      </c>
      <c r="N24" s="92">
        <v>2.4470799999999999E-3</v>
      </c>
      <c r="O24" s="92">
        <v>3.8107200000000001E-3</v>
      </c>
    </row>
    <row r="25" spans="1:15">
      <c r="A25" s="88" t="s">
        <v>31</v>
      </c>
      <c r="B25" s="90" t="s">
        <v>44</v>
      </c>
      <c r="C25" s="92">
        <v>0</v>
      </c>
      <c r="D25" s="92">
        <v>0</v>
      </c>
      <c r="E25" s="92">
        <v>0</v>
      </c>
      <c r="F25" s="92">
        <v>1.5799999999999999E-6</v>
      </c>
      <c r="G25" s="92">
        <v>6.55E-6</v>
      </c>
      <c r="H25" s="92">
        <v>6.55E-6</v>
      </c>
      <c r="I25" s="92">
        <v>2.1295200000000002E-3</v>
      </c>
      <c r="J25" s="92">
        <v>2.0200019760000001E-6</v>
      </c>
      <c r="K25" s="92">
        <v>4.3902933119999996E-6</v>
      </c>
      <c r="L25" s="92">
        <v>4.3486799999999998E-4</v>
      </c>
      <c r="M25" s="92">
        <v>4.4084799999999998E-4</v>
      </c>
      <c r="N25" s="92">
        <v>1.2571640000000001E-3</v>
      </c>
      <c r="O25" s="92">
        <v>1.94272E-3</v>
      </c>
    </row>
    <row r="26" spans="1:15">
      <c r="A26" s="87" t="s">
        <v>35</v>
      </c>
      <c r="B26" s="12" t="s">
        <v>59</v>
      </c>
      <c r="C26" s="92">
        <v>1.8462999999999999E-3</v>
      </c>
      <c r="D26" s="92">
        <v>2.2533000000000002E-3</v>
      </c>
      <c r="E26" s="92">
        <v>2.2533000000000002E-3</v>
      </c>
      <c r="F26" s="92">
        <v>0.26307000000000003</v>
      </c>
      <c r="G26" s="92">
        <v>0.27934999999999999</v>
      </c>
      <c r="H26" s="92">
        <v>0.27934999999999999</v>
      </c>
      <c r="I26" s="92">
        <v>0.28767199999999998</v>
      </c>
      <c r="J26" s="92">
        <v>3.8765355840000002E-4</v>
      </c>
      <c r="K26" s="92">
        <v>8.6404708800000003E-4</v>
      </c>
      <c r="L26" s="92">
        <v>9.0597499999999997E-2</v>
      </c>
      <c r="M26" s="92">
        <v>8.5741200000000004E-2</v>
      </c>
      <c r="N26" s="92">
        <v>0.218556</v>
      </c>
      <c r="O26" s="92">
        <v>0.28393600000000002</v>
      </c>
    </row>
    <row r="27" spans="1:15">
      <c r="A27" s="87" t="s">
        <v>40</v>
      </c>
      <c r="B27" s="90" t="s">
        <v>59</v>
      </c>
      <c r="C27" s="92">
        <v>0</v>
      </c>
      <c r="D27" s="92">
        <v>0</v>
      </c>
      <c r="E27" s="92">
        <v>0</v>
      </c>
      <c r="F27" s="92">
        <v>0</v>
      </c>
      <c r="G27" s="92">
        <v>0</v>
      </c>
      <c r="H27" s="92">
        <v>0</v>
      </c>
      <c r="I27" s="92">
        <v>1.2777119999999999E-2</v>
      </c>
      <c r="J27" s="92">
        <v>4.635495864E-5</v>
      </c>
      <c r="K27" s="92">
        <v>5.5462481999999997E-5</v>
      </c>
      <c r="L27" s="92">
        <v>7.1542800000000004E-2</v>
      </c>
      <c r="M27" s="92">
        <v>7.58408E-3</v>
      </c>
      <c r="N27" s="92">
        <v>1.057288E-2</v>
      </c>
      <c r="O27" s="92">
        <v>1.245956E-2</v>
      </c>
    </row>
    <row r="28" spans="1:15">
      <c r="A28" s="87" t="s">
        <v>41</v>
      </c>
      <c r="B28" s="12" t="s">
        <v>59</v>
      </c>
      <c r="C28" s="92">
        <v>0</v>
      </c>
      <c r="D28" s="92">
        <v>0</v>
      </c>
      <c r="E28" s="92">
        <v>0</v>
      </c>
      <c r="F28" s="92">
        <v>0</v>
      </c>
      <c r="G28" s="92">
        <v>0</v>
      </c>
      <c r="H28" s="92">
        <v>0</v>
      </c>
      <c r="I28" s="92">
        <v>12.870520000000001</v>
      </c>
      <c r="J28" s="92">
        <v>1.190983824E-2</v>
      </c>
      <c r="K28" s="92">
        <v>2.5687886399999998E-2</v>
      </c>
      <c r="L28" s="92">
        <v>2.36138</v>
      </c>
      <c r="M28" s="92">
        <v>2.3536800000000002</v>
      </c>
      <c r="N28" s="92">
        <v>6.7621599999999997</v>
      </c>
      <c r="O28" s="92">
        <v>10.815720000000001</v>
      </c>
    </row>
    <row r="29" spans="1:15">
      <c r="A29" s="87" t="s">
        <v>42</v>
      </c>
      <c r="B29" s="90" t="s">
        <v>59</v>
      </c>
      <c r="C29" s="92">
        <v>0</v>
      </c>
      <c r="D29" s="92">
        <v>0</v>
      </c>
      <c r="E29" s="92">
        <v>0</v>
      </c>
      <c r="F29" s="92">
        <v>0</v>
      </c>
      <c r="G29" s="92">
        <v>0</v>
      </c>
      <c r="H29" s="92">
        <v>0</v>
      </c>
      <c r="I29" s="92">
        <v>16.774640000000002</v>
      </c>
      <c r="J29" s="92">
        <v>1.5412731840000001E-2</v>
      </c>
      <c r="K29" s="92">
        <v>3.3277489200000003E-2</v>
      </c>
      <c r="L29" s="92">
        <v>3.08616</v>
      </c>
      <c r="M29" s="92">
        <v>3.06352</v>
      </c>
      <c r="N29" s="92">
        <v>8.7982800000000001</v>
      </c>
      <c r="O29" s="92">
        <v>14.14076</v>
      </c>
    </row>
    <row r="30" spans="1:15">
      <c r="A30" s="87" t="s">
        <v>25</v>
      </c>
      <c r="B30" s="12" t="s">
        <v>59</v>
      </c>
      <c r="C30" s="92">
        <v>1.8944E-4</v>
      </c>
      <c r="D30" s="92">
        <v>2.2274E-4</v>
      </c>
      <c r="E30" s="92">
        <v>2.2274E-4</v>
      </c>
      <c r="F30" s="92">
        <v>3.5483000000000001E-2</v>
      </c>
      <c r="G30" s="92">
        <v>3.8109999999999998E-2</v>
      </c>
      <c r="H30" s="92">
        <v>3.8109999999999998E-2</v>
      </c>
      <c r="I30" s="92">
        <v>9.1905600000000002E-4</v>
      </c>
      <c r="J30" s="92">
        <v>1.237689072E-6</v>
      </c>
      <c r="K30" s="92">
        <v>2.7439333199999998E-6</v>
      </c>
      <c r="L30" s="92">
        <v>5.5644400000000001E-4</v>
      </c>
      <c r="M30" s="92">
        <v>2.7085999999999999E-4</v>
      </c>
      <c r="N30" s="92">
        <v>6.5566799999999998E-4</v>
      </c>
      <c r="O30" s="92">
        <v>8.8916799999999997E-4</v>
      </c>
    </row>
  </sheetData>
  <sheetProtection algorithmName="SHA-512" hashValue="ELuakGoYyrbsn2R3MctCwcFLJCwmiBgG4e3FyXHTXIhwk316m2s+1jLwwGw5o4+1/VauEpHsu1pUx9y0H192GQ==" saltValue="Enc1/0Ne8U/ekpJJLHE91Q==" spinCount="100000" sheet="1" formatCells="0" formatColumns="0" formatRows="0" insertColumns="0" insertRows="0" autoFilter="0"/>
  <autoFilter ref="A1:O30" xr:uid="{00000000-0009-0000-0000-000001000000}"/>
  <printOptions gridLines="1" gridLinesSet="0"/>
  <pageMargins left="0.75" right="0.75" top="1" bottom="1" header="0.5" footer="0.5"/>
  <pageSetup fitToWidth="0"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79998168889431442"/>
  </sheetPr>
  <dimension ref="A1:Q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5703125" style="22" bestFit="1" customWidth="1"/>
    <col min="4" max="4" width="15.85546875" style="22" bestFit="1" customWidth="1"/>
    <col min="5" max="6" width="16.5703125" style="22" bestFit="1" customWidth="1"/>
    <col min="7" max="7" width="17.5703125" style="22" bestFit="1" customWidth="1"/>
    <col min="8" max="8" width="15.5703125" style="22" bestFit="1" customWidth="1"/>
    <col min="9" max="9" width="15.85546875" style="22" bestFit="1" customWidth="1"/>
    <col min="10" max="11" width="16.5703125" style="22" bestFit="1" customWidth="1"/>
    <col min="12" max="12" width="17.5703125" style="22" bestFit="1" customWidth="1"/>
    <col min="13" max="13" width="15.5703125" style="22" bestFit="1" customWidth="1"/>
    <col min="14" max="14" width="15.85546875" style="22" bestFit="1" customWidth="1"/>
    <col min="15" max="16" width="16.5703125" style="22" bestFit="1" customWidth="1"/>
    <col min="17" max="17" width="17.5703125" style="22" bestFit="1" customWidth="1"/>
  </cols>
  <sheetData>
    <row r="1" spans="1:17" ht="13.5" thickBot="1">
      <c r="C1" s="148" t="s">
        <v>274</v>
      </c>
      <c r="D1" s="149"/>
      <c r="E1" s="149"/>
      <c r="F1" s="149"/>
      <c r="G1" s="150"/>
      <c r="H1" s="148" t="s">
        <v>61</v>
      </c>
      <c r="I1" s="149"/>
      <c r="J1" s="149"/>
      <c r="K1" s="149"/>
      <c r="L1" s="150"/>
      <c r="M1" s="148" t="s">
        <v>138</v>
      </c>
      <c r="N1" s="149"/>
      <c r="O1" s="149"/>
      <c r="P1" s="149"/>
      <c r="Q1" s="150"/>
    </row>
    <row r="2" spans="1:17">
      <c r="A2" s="11" t="s">
        <v>0</v>
      </c>
      <c r="B2" s="11" t="s">
        <v>43</v>
      </c>
      <c r="C2" s="23" t="s">
        <v>146</v>
      </c>
      <c r="D2" s="24" t="s">
        <v>147</v>
      </c>
      <c r="E2" s="24" t="s">
        <v>148</v>
      </c>
      <c r="F2" s="24" t="s">
        <v>149</v>
      </c>
      <c r="G2" s="25" t="s">
        <v>150</v>
      </c>
      <c r="H2" s="23" t="s">
        <v>146</v>
      </c>
      <c r="I2" s="24" t="s">
        <v>147</v>
      </c>
      <c r="J2" s="24" t="s">
        <v>148</v>
      </c>
      <c r="K2" s="24" t="s">
        <v>149</v>
      </c>
      <c r="L2" s="25" t="s">
        <v>150</v>
      </c>
      <c r="M2" s="23" t="s">
        <v>146</v>
      </c>
      <c r="N2" s="24" t="s">
        <v>147</v>
      </c>
      <c r="O2" s="24" t="s">
        <v>148</v>
      </c>
      <c r="P2" s="24" t="s">
        <v>149</v>
      </c>
      <c r="Q2" s="25" t="s">
        <v>150</v>
      </c>
    </row>
    <row r="3" spans="1:17" ht="13.5" thickBot="1">
      <c r="B3" s="26" t="s">
        <v>44</v>
      </c>
      <c r="C3" s="98" t="s">
        <v>265</v>
      </c>
      <c r="D3" s="125" t="s">
        <v>265</v>
      </c>
      <c r="E3" s="125" t="s">
        <v>265</v>
      </c>
      <c r="F3" s="125" t="s">
        <v>265</v>
      </c>
      <c r="G3" s="99" t="s">
        <v>265</v>
      </c>
      <c r="H3" s="105" t="s">
        <v>266</v>
      </c>
      <c r="I3" s="106" t="s">
        <v>266</v>
      </c>
      <c r="J3" s="106" t="s">
        <v>266</v>
      </c>
      <c r="K3" s="106" t="s">
        <v>266</v>
      </c>
      <c r="L3" s="107" t="s">
        <v>266</v>
      </c>
      <c r="M3" s="105" t="s">
        <v>266</v>
      </c>
      <c r="N3" s="106" t="s">
        <v>266</v>
      </c>
      <c r="O3" s="106" t="s">
        <v>266</v>
      </c>
      <c r="P3" s="106" t="s">
        <v>266</v>
      </c>
      <c r="Q3" s="107" t="s">
        <v>266</v>
      </c>
    </row>
    <row r="4" spans="1:17">
      <c r="A4" s="87" t="s">
        <v>23</v>
      </c>
      <c r="B4" s="12" t="s">
        <v>59</v>
      </c>
      <c r="C4" s="132">
        <f>s_C*s_EFres*(1/365)*s_ETres*(1/24)*Isospec!M3*s_Fin*s_Fi*s_Fam*s_Foff*s_GSFb</f>
        <v>0.30090027071826486</v>
      </c>
      <c r="D4" s="132">
        <f>s_C*s_EFres*(1/365)*s_ETres*(1/24)*Isospec!L3*s_Fin*s_Fi*s_Fam*s_Foff*s_GSFb</f>
        <v>0.948419171325799</v>
      </c>
      <c r="E4" s="132">
        <f>s_C*s_EFres*(1/365)*s_ETres*(1/24)*Isospec!N3*s_Fin*s_Fi*s_Fam*s_Foff*s_GSFb</f>
        <v>0.57058683790216891</v>
      </c>
      <c r="F4" s="132">
        <f>s_C*s_EFres*(1/365)*s_ETres*(1/24)*Isospec!O3*s_Fin*s_Fi*s_Fam*s_Foff*s_GSFb</f>
        <v>0.59772688047956624</v>
      </c>
      <c r="G4" s="132">
        <f>s_C*s_EFres*(1/365)*s_ETres*(1/24)*Isospec!P3*s_Fin*s_Fi*s_Fam*s_Foff*s_GSFb</f>
        <v>0.50484316284178077</v>
      </c>
      <c r="H4" s="2">
        <f>C4*Doses!I2</f>
        <v>1.5906912271358639E-2</v>
      </c>
      <c r="I4" s="3">
        <f>D4*Doses!L2</f>
        <v>1.4634866548894138E-2</v>
      </c>
      <c r="J4" s="3">
        <f>E4*Doses!M2</f>
        <v>8.3243370251017742E-3</v>
      </c>
      <c r="K4" s="3">
        <f>F4*Doses!N2</f>
        <v>2.2777697779810927E-2</v>
      </c>
      <c r="L4" s="5">
        <f>G4*Doses!O2</f>
        <v>2.5933793275182276E-2</v>
      </c>
      <c r="M4" s="2">
        <f t="shared" ref="M4:Q4" si="0">IFERROR(H4/_1_bq,".")</f>
        <v>5.8855575404027026E-4</v>
      </c>
      <c r="N4" s="3">
        <f t="shared" si="0"/>
        <v>5.4149006230908361E-4</v>
      </c>
      <c r="O4" s="3">
        <f t="shared" si="0"/>
        <v>3.0800046992876594E-4</v>
      </c>
      <c r="P4" s="3">
        <f t="shared" si="0"/>
        <v>8.4277481785300517E-4</v>
      </c>
      <c r="Q4" s="5">
        <f t="shared" si="0"/>
        <v>9.5955035118174524E-4</v>
      </c>
    </row>
    <row r="5" spans="1:17">
      <c r="A5" s="88" t="s">
        <v>14</v>
      </c>
      <c r="B5" s="12" t="s">
        <v>44</v>
      </c>
      <c r="C5" s="132">
        <f>s_C*s_EFres*(1/365)*s_ETres*(1/24)*Isospec!M4*s_Fin*s_Fi*s_Fam*s_Foff*s_GSFb</f>
        <v>0.58817687385730599</v>
      </c>
      <c r="D5" s="132">
        <f>s_C*s_EFres*(1/365)*s_ETres*(1/24)*Isospec!L4*s_Fin*s_Fi*s_Fam*s_Foff*s_GSFb</f>
        <v>1.3352663081514795</v>
      </c>
      <c r="E5" s="132">
        <f>s_C*s_EFres*(1/365)*s_ETres*(1/24)*Isospec!N4*s_Fin*s_Fi*s_Fam*s_Foff*s_GSFb</f>
        <v>1.3752890670271074</v>
      </c>
      <c r="F5" s="132">
        <f>s_C*s_EFres*(1/365)*s_ETres*(1/24)*Isospec!O4*s_Fin*s_Fi*s_Fam*s_Foff*s_GSFb</f>
        <v>1.2391936453102879</v>
      </c>
      <c r="G5" s="132">
        <f>s_C*s_EFres*(1/365)*s_ETres*(1/24)*Isospec!P4*s_Fin*s_Fi*s_Fam*s_Foff*s_GSFb</f>
        <v>0.79491386010521248</v>
      </c>
      <c r="H5" s="2">
        <f>C5*Doses!I3</f>
        <v>2.1864416567272411E-2</v>
      </c>
      <c r="I5" s="3">
        <f>D5*Doses!L3</f>
        <v>3.4028193650193932E-2</v>
      </c>
      <c r="J5" s="3">
        <f>E5*Doses!M3</f>
        <v>2.517659177662504E-2</v>
      </c>
      <c r="K5" s="3">
        <f>F5*Doses!N3</f>
        <v>4.2824053994632925E-2</v>
      </c>
      <c r="L5" s="5">
        <f>G5*Doses!O3</f>
        <v>2.9549491904463088E-2</v>
      </c>
      <c r="M5" s="2">
        <f t="shared" ref="M5:Q7" si="1">IFERROR(H5/_1_bq,".")</f>
        <v>8.0898341298907999E-4</v>
      </c>
      <c r="N5" s="3">
        <f t="shared" si="1"/>
        <v>1.2590431650571767E-3</v>
      </c>
      <c r="O5" s="3">
        <f t="shared" si="1"/>
        <v>9.3153389573512747E-4</v>
      </c>
      <c r="P5" s="3">
        <f t="shared" si="1"/>
        <v>1.58448999780142E-3</v>
      </c>
      <c r="Q5" s="5">
        <f t="shared" si="1"/>
        <v>1.0933312004651353E-3</v>
      </c>
    </row>
    <row r="6" spans="1:17">
      <c r="A6" s="87" t="s">
        <v>15</v>
      </c>
      <c r="B6" s="12" t="s">
        <v>59</v>
      </c>
      <c r="C6" s="132">
        <f>s_C*s_EFres*(1/365)*s_ETres*(1/24)*Isospec!M5*s_Fin*s_Fi*s_Fam*s_Foff*s_GSFb</f>
        <v>1.5931142640981735E-3</v>
      </c>
      <c r="D6" s="132">
        <f>s_C*s_EFres*(1/365)*s_ETres*(1/24)*Isospec!L5*s_Fin*s_Fi*s_Fam*s_Foff*s_GSFb</f>
        <v>1.8629554390057078E-3</v>
      </c>
      <c r="E6" s="132">
        <f>s_C*s_EFres*(1/365)*s_ETres*(1/24)*Isospec!N5*s_Fin*s_Fi*s_Fam*s_Foff*s_GSFb</f>
        <v>1.9694520667488586E-3</v>
      </c>
      <c r="F6" s="132">
        <f>s_C*s_EFres*(1/365)*s_ETres*(1/24)*Isospec!O5*s_Fin*s_Fi*s_Fam*s_Foff*s_GSFb</f>
        <v>1.8788143985981735E-3</v>
      </c>
      <c r="G6" s="132">
        <f>s_C*s_EFres*(1/365)*s_ETres*(1/24)*Isospec!P5*s_Fin*s_Fi*s_Fam*s_Foff*s_GSFb</f>
        <v>1.6834187209018266E-3</v>
      </c>
      <c r="H6" s="2">
        <f>C6*Doses!I4</f>
        <v>1.8897202777879715E-6</v>
      </c>
      <c r="I6" s="3">
        <f>D6*Doses!L4</f>
        <v>4.9435944416087171E-7</v>
      </c>
      <c r="J6" s="3">
        <f>E6*Doses!M4</f>
        <v>5.2976685033890902E-7</v>
      </c>
      <c r="K6" s="3">
        <f>F6*Doses!N4</f>
        <v>1.410869369225718E-6</v>
      </c>
      <c r="L6" s="5">
        <f>G6*Doses!O4</f>
        <v>1.8679079453628995E-6</v>
      </c>
      <c r="M6" s="2">
        <f t="shared" si="1"/>
        <v>6.9919650278155013E-8</v>
      </c>
      <c r="N6" s="3">
        <f t="shared" si="1"/>
        <v>1.8291299433952271E-8</v>
      </c>
      <c r="O6" s="3">
        <f t="shared" si="1"/>
        <v>1.9601373462539653E-8</v>
      </c>
      <c r="P6" s="3">
        <f t="shared" si="1"/>
        <v>5.2202166661351619E-8</v>
      </c>
      <c r="Q6" s="5">
        <f t="shared" si="1"/>
        <v>6.9112593978427356E-8</v>
      </c>
    </row>
    <row r="7" spans="1:17">
      <c r="A7" s="87" t="s">
        <v>16</v>
      </c>
      <c r="B7" s="89" t="s">
        <v>59</v>
      </c>
      <c r="C7" s="132">
        <f>s_C*s_EFres*(1/365)*s_ETres*(1/24)*Isospec!M6*s_Fin*s_Fi*s_Fam*s_Foff*s_GSFb</f>
        <v>0</v>
      </c>
      <c r="D7" s="132">
        <f>s_C*s_EFres*(1/365)*s_ETres*(1/24)*Isospec!L6*s_Fin*s_Fi*s_Fam*s_Foff*s_GSFb</f>
        <v>0</v>
      </c>
      <c r="E7" s="132">
        <f>s_C*s_EFres*(1/365)*s_ETres*(1/24)*Isospec!N6*s_Fin*s_Fi*s_Fam*s_Foff*s_GSFb</f>
        <v>0</v>
      </c>
      <c r="F7" s="132">
        <f>s_C*s_EFres*(1/365)*s_ETres*(1/24)*Isospec!O6*s_Fin*s_Fi*s_Fam*s_Foff*s_GSFb</f>
        <v>0</v>
      </c>
      <c r="G7" s="132">
        <f>s_C*s_EFres*(1/365)*s_ETres*(1/24)*Isospec!P6*s_Fin*s_Fi*s_Fam*s_Foff*s_GSFb</f>
        <v>0</v>
      </c>
      <c r="H7" s="2">
        <f>C7*Doses!I5</f>
        <v>0</v>
      </c>
      <c r="I7" s="3">
        <f>D7*Doses!L5</f>
        <v>0</v>
      </c>
      <c r="J7" s="3">
        <f>E7*Doses!M5</f>
        <v>0</v>
      </c>
      <c r="K7" s="3">
        <f>F7*Doses!N5</f>
        <v>0</v>
      </c>
      <c r="L7" s="5">
        <f>G7*Doses!O5</f>
        <v>0</v>
      </c>
      <c r="M7" s="2">
        <f t="shared" si="1"/>
        <v>0</v>
      </c>
      <c r="N7" s="3">
        <f t="shared" si="1"/>
        <v>0</v>
      </c>
      <c r="O7" s="3">
        <f t="shared" si="1"/>
        <v>0</v>
      </c>
      <c r="P7" s="3">
        <f t="shared" si="1"/>
        <v>0</v>
      </c>
      <c r="Q7" s="5">
        <f t="shared" si="1"/>
        <v>0</v>
      </c>
    </row>
    <row r="8" spans="1:17">
      <c r="A8" s="87" t="s">
        <v>18</v>
      </c>
      <c r="B8" s="12" t="s">
        <v>59</v>
      </c>
      <c r="C8" s="132">
        <f>s_C*s_EFres*(1/365)*s_ETres*(1/24)*Isospec!M7*s_Fin*s_Fi*s_Fam*s_Foff*s_GSFb</f>
        <v>1.5808660531621006</v>
      </c>
      <c r="D8" s="132">
        <f>s_C*s_EFres*(1/365)*s_ETres*(1/24)*Isospec!L7*s_Fin*s_Fi*s_Fam*s_Foff*s_GSFb</f>
        <v>1.1578532932886987</v>
      </c>
      <c r="E8" s="132">
        <f>s_C*s_EFres*(1/365)*s_ETres*(1/24)*Isospec!N7*s_Fin*s_Fi*s_Fam*s_Foff*s_GSFb</f>
        <v>1.5193251512146118</v>
      </c>
      <c r="F8" s="132">
        <f>s_C*s_EFres*(1/365)*s_ETres*(1/24)*Isospec!O7*s_Fin*s_Fi*s_Fam*s_Foff*s_GSFb</f>
        <v>1.6381736172773973</v>
      </c>
      <c r="G8" s="132">
        <f>s_C*s_EFres*(1/365)*s_ETres*(1/24)*Isospec!P7*s_Fin*s_Fi*s_Fam*s_Foff*s_GSFb</f>
        <v>1.3044325851860732</v>
      </c>
      <c r="H8" s="2">
        <f>C8*Doses!I6</f>
        <v>5.3450345950253153</v>
      </c>
      <c r="I8" s="3">
        <f>D8*Doses!L6</f>
        <v>0.78098709841604008</v>
      </c>
      <c r="J8" s="3">
        <f>E8*Doses!M6</f>
        <v>1.0217157776888022</v>
      </c>
      <c r="K8" s="3">
        <f>F8*Doses!N6</f>
        <v>3.1519115665864033</v>
      </c>
      <c r="L8" s="5">
        <f>G8*Doses!O6</f>
        <v>3.9230549112954116</v>
      </c>
      <c r="M8" s="2">
        <f t="shared" ref="M8:Q9" si="2">IFERROR(H8/_1_bq,".")</f>
        <v>0.19776628001593688</v>
      </c>
      <c r="N8" s="3">
        <f t="shared" si="2"/>
        <v>2.8896522641393512E-2</v>
      </c>
      <c r="O8" s="3">
        <f t="shared" si="2"/>
        <v>3.7803483774485717E-2</v>
      </c>
      <c r="P8" s="3">
        <f t="shared" si="2"/>
        <v>0.11662072796369703</v>
      </c>
      <c r="Q8" s="5">
        <f t="shared" si="2"/>
        <v>0.14515303171793037</v>
      </c>
    </row>
    <row r="9" spans="1:17">
      <c r="A9" s="87" t="s">
        <v>19</v>
      </c>
      <c r="B9" s="90" t="s">
        <v>59</v>
      </c>
      <c r="C9" s="132">
        <f>s_C*s_EFres*(1/365)*s_ETres*(1/24)*Isospec!M8*s_Fin*s_Fi*s_Fam*s_Foff*s_GSFb</f>
        <v>1.9607602604634704E-6</v>
      </c>
      <c r="D9" s="132">
        <f>s_C*s_EFres*(1/365)*s_ETres*(1/24)*Isospec!L8*s_Fin*s_Fi*s_Fam*s_Foff*s_GSFb</f>
        <v>1.9901825722819632E-6</v>
      </c>
      <c r="E9" s="132">
        <f>s_C*s_EFres*(1/365)*s_ETres*(1/24)*Isospec!N8*s_Fin*s_Fi*s_Fam*s_Foff*s_GSFb</f>
        <v>2.315692763359589E-6</v>
      </c>
      <c r="F9" s="132">
        <f>s_C*s_EFres*(1/365)*s_ETres*(1/24)*Isospec!O8*s_Fin*s_Fi*s_Fam*s_Foff*s_GSFb</f>
        <v>2.3168246686586758E-6</v>
      </c>
      <c r="G9" s="132">
        <f>s_C*s_EFres*(1/365)*s_ETres*(1/24)*Isospec!P8*s_Fin*s_Fi*s_Fam*s_Foff*s_GSFb</f>
        <v>1.963032993204338E-6</v>
      </c>
      <c r="H9" s="2">
        <f>C9*Doses!I7</f>
        <v>1.0731711487979084E-8</v>
      </c>
      <c r="I9" s="3">
        <f>D9*Doses!L7</f>
        <v>8.1660972287616294E-8</v>
      </c>
      <c r="J9" s="3">
        <f>E9*Doses!M7</f>
        <v>7.2671996576855971E-9</v>
      </c>
      <c r="K9" s="3">
        <f>F9*Doses!N7</f>
        <v>1.0516623208962207E-8</v>
      </c>
      <c r="L9" s="5">
        <f>G9*Doses!O7</f>
        <v>1.052413396184737E-8</v>
      </c>
      <c r="M9" s="2">
        <f t="shared" si="2"/>
        <v>3.9707332505522654E-10</v>
      </c>
      <c r="N9" s="3">
        <f t="shared" si="2"/>
        <v>3.021455974641806E-9</v>
      </c>
      <c r="O9" s="3">
        <f t="shared" si="2"/>
        <v>2.6888638733436734E-10</v>
      </c>
      <c r="P9" s="3">
        <f t="shared" si="2"/>
        <v>3.8911505873160204E-10</v>
      </c>
      <c r="Q9" s="5">
        <f t="shared" si="2"/>
        <v>3.8939295658835306E-10</v>
      </c>
    </row>
    <row r="10" spans="1:17">
      <c r="A10" s="87" t="s">
        <v>20</v>
      </c>
      <c r="B10" s="12" t="s">
        <v>59</v>
      </c>
      <c r="C10" s="132">
        <f>s_C*s_EFres*(1/365)*s_ETres*(1/24)*Isospec!M9*s_Fin*s_Fi*s_Fam*s_Foff*s_GSFb</f>
        <v>0.52010532823710043</v>
      </c>
      <c r="D10" s="132">
        <f>s_C*s_EFres*(1/365)*s_ETres*(1/24)*Isospec!L9*s_Fin*s_Fi*s_Fam*s_Foff*s_GSFb</f>
        <v>0.45325704488744289</v>
      </c>
      <c r="E10" s="132">
        <f>s_C*s_EFres*(1/365)*s_ETres*(1/24)*Isospec!N9*s_Fin*s_Fi*s_Fam*s_Foff*s_GSFb</f>
        <v>0.53411474663538805</v>
      </c>
      <c r="F10" s="132">
        <f>s_C*s_EFres*(1/365)*s_ETres*(1/24)*Isospec!O9*s_Fin*s_Fi*s_Fam*s_Foff*s_GSFb</f>
        <v>0.57784360947751146</v>
      </c>
      <c r="G10" s="132">
        <f>s_C*s_EFres*(1/365)*s_ETres*(1/24)*Isospec!P9*s_Fin*s_Fi*s_Fam*s_Foff*s_GSFb</f>
        <v>0.50291284846426931</v>
      </c>
      <c r="H10" s="2">
        <f>C10*Doses!I8</f>
        <v>0.35753288515806053</v>
      </c>
      <c r="I10" s="3">
        <f>D10*Doses!L8</f>
        <v>8.6896627617640998E-2</v>
      </c>
      <c r="J10" s="3">
        <f>E10*Doses!M8</f>
        <v>7.9319244563834934E-2</v>
      </c>
      <c r="K10" s="3">
        <f>F10*Doses!N8</f>
        <v>0.23962943347588608</v>
      </c>
      <c r="L10" s="5">
        <f>G10*Doses!O8</f>
        <v>0.31659168471383292</v>
      </c>
      <c r="M10" s="2">
        <f t="shared" ref="M10:Q11" si="3">IFERROR(H10/_1_bq,".")</f>
        <v>1.3228716750848253E-2</v>
      </c>
      <c r="N10" s="3">
        <f t="shared" si="3"/>
        <v>3.21517522185272E-3</v>
      </c>
      <c r="O10" s="3">
        <f t="shared" si="3"/>
        <v>2.9348120488618956E-3</v>
      </c>
      <c r="P10" s="3">
        <f t="shared" si="3"/>
        <v>8.8662890386077935E-3</v>
      </c>
      <c r="Q10" s="5">
        <f t="shared" si="3"/>
        <v>1.171389233441183E-2</v>
      </c>
    </row>
    <row r="11" spans="1:17">
      <c r="A11" s="87" t="s">
        <v>21</v>
      </c>
      <c r="B11" s="90" t="s">
        <v>59</v>
      </c>
      <c r="C11" s="132">
        <f>s_C*s_EFres*(1/365)*s_ETres*(1/24)*Isospec!M10*s_Fin*s_Fi*s_Fam*s_Foff*s_GSFb</f>
        <v>2.306907313760274</v>
      </c>
      <c r="D11" s="132">
        <f>s_C*s_EFres*(1/365)*s_ETres*(1/24)*Isospec!L10*s_Fin*s_Fi*s_Fam*s_Foff*s_GSFb</f>
        <v>1.5819470080936073</v>
      </c>
      <c r="E11" s="132">
        <f>s_C*s_EFres*(1/365)*s_ETres*(1/24)*Isospec!N10*s_Fin*s_Fi*s_Fam*s_Foff*s_GSFb</f>
        <v>2.0948087567226028</v>
      </c>
      <c r="F11" s="132">
        <f>s_C*s_EFres*(1/365)*s_ETres*(1/24)*Isospec!O10*s_Fin*s_Fi*s_Fam*s_Foff*s_GSFb</f>
        <v>2.1765779374166665</v>
      </c>
      <c r="G11" s="132">
        <f>s_C*s_EFres*(1/365)*s_ETres*(1/24)*Isospec!P10*s_Fin*s_Fi*s_Fam*s_Foff*s_GSFb</f>
        <v>1.8225872050833334</v>
      </c>
      <c r="H11" s="2">
        <f>C11*Doses!I9</f>
        <v>21.072490995689499</v>
      </c>
      <c r="I11" s="3">
        <f>D11*Doses!L9</f>
        <v>2.6260003944952262</v>
      </c>
      <c r="J11" s="3">
        <f>E11*Doses!M9</f>
        <v>3.4122256045904207</v>
      </c>
      <c r="K11" s="3">
        <f>F11*Doses!N9</f>
        <v>10.24593591947772</v>
      </c>
      <c r="L11" s="5">
        <f>G11*Doses!O9</f>
        <v>13.890739028310319</v>
      </c>
      <c r="M11" s="2">
        <f t="shared" si="3"/>
        <v>0.77968216684051228</v>
      </c>
      <c r="N11" s="3">
        <f t="shared" si="3"/>
        <v>9.7162014596323468E-2</v>
      </c>
      <c r="O11" s="3">
        <f t="shared" si="3"/>
        <v>0.1262523473698457</v>
      </c>
      <c r="P11" s="3">
        <f t="shared" si="3"/>
        <v>0.37909962902067601</v>
      </c>
      <c r="Q11" s="5">
        <f t="shared" si="3"/>
        <v>0.51395734404748239</v>
      </c>
    </row>
    <row r="12" spans="1:17">
      <c r="A12" s="88" t="s">
        <v>17</v>
      </c>
      <c r="B12" s="12" t="s">
        <v>44</v>
      </c>
      <c r="C12" s="132">
        <f>s_C*s_EFres*(1/365)*s_ETres*(1/24)*Isospec!M11*s_Fin*s_Fi*s_Fam*s_Foff*s_GSFb</f>
        <v>9.8404070686643826E-6</v>
      </c>
      <c r="D12" s="132">
        <f>s_C*s_EFres*(1/365)*s_ETres*(1/24)*Isospec!L11*s_Fin*s_Fi*s_Fam*s_Foff*s_GSFb</f>
        <v>1.4129346087942614</v>
      </c>
      <c r="E12" s="132">
        <f>s_C*s_EFres*(1/365)*s_ETres*(1/24)*Isospec!N11*s_Fin*s_Fi*s_Fam*s_Foff*s_GSFb</f>
        <v>1.7823743027966483</v>
      </c>
      <c r="F12" s="132">
        <f>s_C*s_EFres*(1/365)*s_ETres*(1/24)*Isospec!O11*s_Fin*s_Fi*s_Fam*s_Foff*s_GSFb</f>
        <v>1.7026797401187639</v>
      </c>
      <c r="G12" s="132">
        <f>s_C*s_EFres*(1/365)*s_ETres*(1/24)*Isospec!P11*s_Fin*s_Fi*s_Fam*s_Foff*s_GSFb</f>
        <v>2.3186140126123962</v>
      </c>
      <c r="H12" s="2">
        <f>C12*Doses!I10</f>
        <v>8.5475743879832559E-9</v>
      </c>
      <c r="I12" s="3">
        <f>D12*Doses!L10</f>
        <v>5.1698853455399386E-3</v>
      </c>
      <c r="J12" s="3">
        <f>E12*Doses!M10</f>
        <v>7.1583716748918993E-4</v>
      </c>
      <c r="K12" s="3">
        <f>F12*Doses!N10</f>
        <v>1.1927271579531941E-3</v>
      </c>
      <c r="L12" s="5">
        <f>G12*Doses!O10</f>
        <v>1.9793451358308999E-3</v>
      </c>
      <c r="M12" s="2">
        <f t="shared" ref="M12:Q12" si="4">IFERROR(H12/_1_bq,".")</f>
        <v>3.162602523553808E-10</v>
      </c>
      <c r="N12" s="3">
        <f t="shared" si="4"/>
        <v>1.9128575778497791E-4</v>
      </c>
      <c r="O12" s="3">
        <f t="shared" si="4"/>
        <v>2.6485975197100056E-5</v>
      </c>
      <c r="P12" s="3">
        <f t="shared" si="4"/>
        <v>4.4130904844268231E-5</v>
      </c>
      <c r="Q12" s="5">
        <f t="shared" si="4"/>
        <v>7.3235770025743377E-5</v>
      </c>
    </row>
    <row r="13" spans="1:17">
      <c r="A13" s="87" t="s">
        <v>24</v>
      </c>
      <c r="B13" s="12" t="s">
        <v>59</v>
      </c>
      <c r="C13" s="132">
        <f>s_C*s_EFres*(1/365)*s_ETres*(1/24)*Isospec!M12*s_Fin*s_Fi*s_Fam*s_Foff*s_GSFb</f>
        <v>0.22615766948299085</v>
      </c>
      <c r="D13" s="132">
        <f>s_C*s_EFres*(1/365)*s_ETres*(1/24)*Isospec!L12*s_Fin*s_Fi*s_Fam*s_Foff*s_GSFb</f>
        <v>0.2951547289078767</v>
      </c>
      <c r="E13" s="132">
        <f>s_C*s_EFres*(1/365)*s_ETres*(1/24)*Isospec!N12*s_Fin*s_Fi*s_Fam*s_Foff*s_GSFb</f>
        <v>0.32224342919999999</v>
      </c>
      <c r="F13" s="132">
        <f>s_C*s_EFres*(1/365)*s_ETres*(1/24)*Isospec!O12*s_Fin*s_Fi*s_Fam*s_Foff*s_GSFb</f>
        <v>0.29983191614486299</v>
      </c>
      <c r="G13" s="132">
        <f>s_C*s_EFres*(1/365)*s_ETres*(1/24)*Isospec!P12*s_Fin*s_Fi*s_Fam*s_Foff*s_GSFb</f>
        <v>0.24598312435947489</v>
      </c>
      <c r="H13" s="2">
        <f>C13*Doses!I11</f>
        <v>3.0121578146168383E-2</v>
      </c>
      <c r="I13" s="3">
        <f>D13*Doses!L11</f>
        <v>9.2814651207099811E-3</v>
      </c>
      <c r="J13" s="3">
        <f>E13*Doses!M11</f>
        <v>1.0293357410249759E-2</v>
      </c>
      <c r="K13" s="3">
        <f>F13*Doses!N11</f>
        <v>2.6772111725341274E-2</v>
      </c>
      <c r="L13" s="5">
        <f>G13*Doses!O11</f>
        <v>3.1521458274420038E-2</v>
      </c>
      <c r="M13" s="2">
        <f t="shared" ref="M13:Q13" si="5">IFERROR(H13/_1_bq,".")</f>
        <v>1.1144983914082314E-3</v>
      </c>
      <c r="N13" s="3">
        <f t="shared" si="5"/>
        <v>3.4341420946626964E-4</v>
      </c>
      <c r="O13" s="3">
        <f t="shared" si="5"/>
        <v>3.8085422417924149E-4</v>
      </c>
      <c r="P13" s="3">
        <f t="shared" si="5"/>
        <v>9.9056813383762809E-4</v>
      </c>
      <c r="Q13" s="5">
        <f t="shared" si="5"/>
        <v>1.1662939561535425E-3</v>
      </c>
    </row>
    <row r="14" spans="1:17">
      <c r="A14" s="87" t="s">
        <v>22</v>
      </c>
      <c r="B14" s="89" t="s">
        <v>59</v>
      </c>
      <c r="C14" s="132">
        <f>s_C*s_EFres*(1/365)*s_ETres*(1/24)*Isospec!M13*s_Fin*s_Fi*s_Fam*s_Foff*s_GSFb</f>
        <v>0.67707907030650683</v>
      </c>
      <c r="D14" s="132">
        <f>s_C*s_EFres*(1/365)*s_ETres*(1/24)*Isospec!L13*s_Fin*s_Fi*s_Fam*s_Foff*s_GSFb</f>
        <v>0.72968100339611874</v>
      </c>
      <c r="E14" s="132">
        <f>s_C*s_EFres*(1/365)*s_ETres*(1/24)*Isospec!N13*s_Fin*s_Fi*s_Fam*s_Foff*s_GSFb</f>
        <v>0.82990452628253419</v>
      </c>
      <c r="F14" s="132">
        <f>s_C*s_EFres*(1/365)*s_ETres*(1/24)*Isospec!O13*s_Fin*s_Fi*s_Fam*s_Foff*s_GSFb</f>
        <v>0.82121398935319634</v>
      </c>
      <c r="G14" s="132">
        <f>s_C*s_EFres*(1/365)*s_ETres*(1/24)*Isospec!P13*s_Fin*s_Fi*s_Fam*s_Foff*s_GSFb</f>
        <v>0.69330256768013698</v>
      </c>
      <c r="H14" s="2">
        <f>C14*Doses!I12</f>
        <v>0.41484905469307798</v>
      </c>
      <c r="I14" s="3">
        <f>D14*Doses!L12</f>
        <v>0.12709656685253937</v>
      </c>
      <c r="J14" s="3">
        <f>E14*Doses!M12</f>
        <v>0.11502941480810641</v>
      </c>
      <c r="K14" s="3">
        <f>F14*Doses!N12</f>
        <v>0.31754374054713658</v>
      </c>
      <c r="L14" s="5">
        <f>G14*Doses!O12</f>
        <v>0.39759238330293423</v>
      </c>
      <c r="M14" s="2">
        <f t="shared" ref="M14:Q14" si="6">IFERROR(H14/_1_bq,".")</f>
        <v>1.5349415023643901E-2</v>
      </c>
      <c r="N14" s="3">
        <f t="shared" si="6"/>
        <v>4.7025729735439611E-3</v>
      </c>
      <c r="O14" s="3">
        <f t="shared" si="6"/>
        <v>4.2560883478999414E-3</v>
      </c>
      <c r="P14" s="3">
        <f t="shared" si="6"/>
        <v>1.1749118400244065E-2</v>
      </c>
      <c r="Q14" s="5">
        <f t="shared" si="6"/>
        <v>1.4710918182208581E-2</v>
      </c>
    </row>
    <row r="15" spans="1:17">
      <c r="A15" s="87" t="s">
        <v>28</v>
      </c>
      <c r="B15" s="12" t="s">
        <v>59</v>
      </c>
      <c r="C15" s="132">
        <f>s_C*s_EFres*(1/365)*s_ETres*(1/24)*Isospec!M14*s_Fin*s_Fi*s_Fam*s_Foff*s_GSFb</f>
        <v>0.74941491009954331</v>
      </c>
      <c r="D15" s="132">
        <f>s_C*s_EFres*(1/365)*s_ETres*(1/24)*Isospec!L14*s_Fin*s_Fi*s_Fam*s_Foff*s_GSFb</f>
        <v>2.523330247769406</v>
      </c>
      <c r="E15" s="132">
        <f>s_C*s_EFres*(1/365)*s_ETres*(1/24)*Isospec!N14*s_Fin*s_Fi*s_Fam*s_Foff*s_GSFb</f>
        <v>1.4739045717979451</v>
      </c>
      <c r="F15" s="132">
        <f>s_C*s_EFres*(1/365)*s_ETres*(1/24)*Isospec!O14*s_Fin*s_Fi*s_Fam*s_Foff*s_GSFb</f>
        <v>1.6689464118789954</v>
      </c>
      <c r="G15" s="132">
        <f>s_C*s_EFres*(1/365)*s_ETres*(1/24)*Isospec!P14*s_Fin*s_Fi*s_Fam*s_Foff*s_GSFb</f>
        <v>1.4154806125593609</v>
      </c>
      <c r="H15" s="2">
        <f>C15*Doses!I13</f>
        <v>5.0256663169167493E-2</v>
      </c>
      <c r="I15" s="3">
        <f>D15*Doses!L13</f>
        <v>7.197446265527542E-2</v>
      </c>
      <c r="J15" s="3">
        <f>E15*Doses!M13</f>
        <v>3.3039044881422737E-2</v>
      </c>
      <c r="K15" s="3">
        <f>F15*Doses!N13</f>
        <v>8.9163128265352956E-2</v>
      </c>
      <c r="L15" s="5">
        <f>G15*Doses!O13</f>
        <v>9.4659416676539723E-2</v>
      </c>
      <c r="M15" s="2">
        <f t="shared" ref="M15:Q15" si="7">IFERROR(H15/_1_bq,".")</f>
        <v>1.8594965372591991E-3</v>
      </c>
      <c r="N15" s="3">
        <f t="shared" si="7"/>
        <v>2.6630551182451933E-3</v>
      </c>
      <c r="O15" s="3">
        <f t="shared" si="7"/>
        <v>1.2224446606126425E-3</v>
      </c>
      <c r="P15" s="3">
        <f t="shared" si="7"/>
        <v>3.2990357458180628E-3</v>
      </c>
      <c r="Q15" s="5">
        <f t="shared" si="7"/>
        <v>3.5023984170319735E-3</v>
      </c>
    </row>
    <row r="16" spans="1:17">
      <c r="A16" s="87" t="s">
        <v>29</v>
      </c>
      <c r="B16" s="12" t="s">
        <v>59</v>
      </c>
      <c r="C16" s="132">
        <f>s_C*s_EFres*(1/365)*s_ETres*(1/24)*Isospec!M15*s_Fin*s_Fi*s_Fam*s_Foff*s_GSFb</f>
        <v>1.7674199357054794</v>
      </c>
      <c r="D16" s="132">
        <f>s_C*s_EFres*(1/365)*s_ETres*(1/24)*Isospec!L15*s_Fin*s_Fi*s_Fam*s_Foff*s_GSFb</f>
        <v>3.2232827010799086</v>
      </c>
      <c r="E16" s="132">
        <f>s_C*s_EFres*(1/365)*s_ETres*(1/24)*Isospec!N15*s_Fin*s_Fi*s_Fam*s_Foff*s_GSFb</f>
        <v>2.6208001870479452</v>
      </c>
      <c r="F16" s="132">
        <f>s_C*s_EFres*(1/365)*s_ETres*(1/24)*Isospec!O15*s_Fin*s_Fi*s_Fam*s_Foff*s_GSFb</f>
        <v>2.8328370642979452</v>
      </c>
      <c r="G16" s="132">
        <f>s_C*s_EFres*(1/365)*s_ETres*(1/24)*Isospec!P15*s_Fin*s_Fi*s_Fam*s_Foff*s_GSFb</f>
        <v>2.2516693331803652</v>
      </c>
      <c r="H16" s="2">
        <f>C16*Doses!I14</f>
        <v>1.7993395397443204</v>
      </c>
      <c r="I16" s="3">
        <f>D16*Doses!L14</f>
        <v>0.76113953046760741</v>
      </c>
      <c r="J16" s="3">
        <f>E16*Doses!M14</f>
        <v>0.62174815317450627</v>
      </c>
      <c r="K16" s="3">
        <f>F16*Doses!N14</f>
        <v>1.8679840915463222</v>
      </c>
      <c r="L16" s="5">
        <f>G16*Doses!O14</f>
        <v>2.1703570502205558</v>
      </c>
      <c r="M16" s="2">
        <f t="shared" ref="M16:Q16" si="8">IFERROR(H16/_1_bq,".")</f>
        <v>6.6575562970539917E-2</v>
      </c>
      <c r="N16" s="3">
        <f t="shared" si="8"/>
        <v>2.8162162627301503E-2</v>
      </c>
      <c r="O16" s="3">
        <f t="shared" si="8"/>
        <v>2.3004681667456756E-2</v>
      </c>
      <c r="P16" s="3">
        <f t="shared" si="8"/>
        <v>6.9115411387213985E-2</v>
      </c>
      <c r="Q16" s="5">
        <f t="shared" si="8"/>
        <v>8.030321085816064E-2</v>
      </c>
    </row>
    <row r="17" spans="1:17">
      <c r="A17" s="87" t="s">
        <v>32</v>
      </c>
      <c r="B17" s="12" t="s">
        <v>59</v>
      </c>
      <c r="C17" s="132">
        <f>s_C*s_EFres*(1/365)*s_ETres*(1/24)*Isospec!M16*s_Fin*s_Fi*s_Fam*s_Foff*s_GSFb</f>
        <v>0</v>
      </c>
      <c r="D17" s="132">
        <f>s_C*s_EFres*(1/365)*s_ETres*(1/24)*Isospec!L16*s_Fin*s_Fi*s_Fam*s_Foff*s_GSFb</f>
        <v>0</v>
      </c>
      <c r="E17" s="132">
        <f>s_C*s_EFres*(1/365)*s_ETres*(1/24)*Isospec!N16*s_Fin*s_Fi*s_Fam*s_Foff*s_GSFb</f>
        <v>0</v>
      </c>
      <c r="F17" s="132">
        <f>s_C*s_EFres*(1/365)*s_ETres*(1/24)*Isospec!O16*s_Fin*s_Fi*s_Fam*s_Foff*s_GSFb</f>
        <v>0</v>
      </c>
      <c r="G17" s="132">
        <f>s_C*s_EFres*(1/365)*s_ETres*(1/24)*Isospec!P16*s_Fin*s_Fi*s_Fam*s_Foff*s_GSFb</f>
        <v>0</v>
      </c>
      <c r="H17" s="2">
        <f>C17*Doses!I15</f>
        <v>0</v>
      </c>
      <c r="I17" s="3">
        <f>D17*Doses!L15</f>
        <v>0</v>
      </c>
      <c r="J17" s="3">
        <f>E17*Doses!M15</f>
        <v>0</v>
      </c>
      <c r="K17" s="3">
        <f>F17*Doses!N15</f>
        <v>0</v>
      </c>
      <c r="L17" s="5">
        <f>G17*Doses!O15</f>
        <v>0</v>
      </c>
      <c r="M17" s="2">
        <f t="shared" ref="M17:Q19" si="9">IFERROR(H17/_1_bq,".")</f>
        <v>0</v>
      </c>
      <c r="N17" s="3">
        <f t="shared" si="9"/>
        <v>0</v>
      </c>
      <c r="O17" s="3">
        <f t="shared" si="9"/>
        <v>0</v>
      </c>
      <c r="P17" s="3">
        <f t="shared" si="9"/>
        <v>0</v>
      </c>
      <c r="Q17" s="5">
        <f t="shared" si="9"/>
        <v>0</v>
      </c>
    </row>
    <row r="18" spans="1:17">
      <c r="A18" s="87" t="s">
        <v>33</v>
      </c>
      <c r="B18" s="90" t="s">
        <v>59</v>
      </c>
      <c r="C18" s="132">
        <f>s_C*s_EFres*(1/365)*s_ETres*(1/24)*Isospec!M17*s_Fin*s_Fi*s_Fam*s_Foff*s_GSFb</f>
        <v>0.23417551960753427</v>
      </c>
      <c r="D18" s="132">
        <f>s_C*s_EFres*(1/365)*s_ETres*(1/24)*Isospec!L17*s_Fin*s_Fi*s_Fam*s_Foff*s_GSFb</f>
        <v>1.0626674207492008</v>
      </c>
      <c r="E18" s="132">
        <f>s_C*s_EFres*(1/365)*s_ETres*(1/24)*Isospec!N17*s_Fin*s_Fi*s_Fam*s_Foff*s_GSFb</f>
        <v>0.51922446083561646</v>
      </c>
      <c r="F18" s="132">
        <f>s_C*s_EFres*(1/365)*s_ETres*(1/24)*Isospec!O17*s_Fin*s_Fi*s_Fam*s_Foff*s_GSFb</f>
        <v>0.51353682279920099</v>
      </c>
      <c r="G18" s="132">
        <f>s_C*s_EFres*(1/365)*s_ETres*(1/24)*Isospec!P17*s_Fin*s_Fi*s_Fam*s_Foff*s_GSFb</f>
        <v>0.48258440928550222</v>
      </c>
      <c r="H18" s="2">
        <f>C18*Doses!I16</f>
        <v>4.8993265510209887E-4</v>
      </c>
      <c r="I18" s="3">
        <f>D18*Doses!L16</f>
        <v>2.6957003262371203E-3</v>
      </c>
      <c r="J18" s="3">
        <f>E18*Doses!M16</f>
        <v>6.9057684050274329E-4</v>
      </c>
      <c r="K18" s="3">
        <f>F18*Doses!N16</f>
        <v>1.055215463487798E-3</v>
      </c>
      <c r="L18" s="5">
        <f>G18*Doses!O16</f>
        <v>1.0096437977307564E-3</v>
      </c>
      <c r="M18" s="2">
        <f t="shared" si="9"/>
        <v>1.8127508238777677E-5</v>
      </c>
      <c r="N18" s="3">
        <f t="shared" si="9"/>
        <v>9.9740912070773552E-5</v>
      </c>
      <c r="O18" s="3">
        <f t="shared" si="9"/>
        <v>2.5551343098601528E-5</v>
      </c>
      <c r="P18" s="3">
        <f t="shared" si="9"/>
        <v>3.9042972149048568E-5</v>
      </c>
      <c r="Q18" s="5">
        <f t="shared" si="9"/>
        <v>3.7356820516038027E-5</v>
      </c>
    </row>
    <row r="19" spans="1:17">
      <c r="A19" s="87" t="s">
        <v>34</v>
      </c>
      <c r="B19" s="90" t="s">
        <v>59</v>
      </c>
      <c r="C19" s="132">
        <f>s_C*s_EFres*(1/365)*s_ETres*(1/24)*Isospec!M18*s_Fin*s_Fi*s_Fam*s_Foff*s_GSFb</f>
        <v>1.4733687050273974</v>
      </c>
      <c r="D19" s="132">
        <f>s_C*s_EFres*(1/365)*s_ETres*(1/24)*Isospec!L18*s_Fin*s_Fi*s_Fam*s_Foff*s_GSFb</f>
        <v>1.7619354722762559</v>
      </c>
      <c r="E19" s="132">
        <f>s_C*s_EFres*(1/365)*s_ETres*(1/24)*Isospec!N18*s_Fin*s_Fi*s_Fam*s_Foff*s_GSFb</f>
        <v>1.8286115052031964</v>
      </c>
      <c r="F19" s="132">
        <f>s_C*s_EFres*(1/365)*s_ETres*(1/24)*Isospec!O18*s_Fin*s_Fi*s_Fam*s_Foff*s_GSFb</f>
        <v>1.805477479252283</v>
      </c>
      <c r="G19" s="132">
        <f>s_C*s_EFres*(1/365)*s_ETres*(1/24)*Isospec!P18*s_Fin*s_Fi*s_Fam*s_Foff*s_GSFb</f>
        <v>1.5450594192853881</v>
      </c>
      <c r="H19" s="2">
        <f>C19*Doses!I17</f>
        <v>1.8522660946870628</v>
      </c>
      <c r="I19" s="3">
        <f>D19*Doses!L17</f>
        <v>0.50050772380309916</v>
      </c>
      <c r="J19" s="3">
        <f>E19*Doses!M17</f>
        <v>0.51237694375793563</v>
      </c>
      <c r="K19" s="3">
        <f>F19*Doses!N17</f>
        <v>1.4266233069159009</v>
      </c>
      <c r="L19" s="5">
        <f>G19*Doses!O17</f>
        <v>1.815401555996591</v>
      </c>
      <c r="M19" s="2">
        <f t="shared" si="9"/>
        <v>6.8533845503421398E-2</v>
      </c>
      <c r="N19" s="3">
        <f t="shared" si="9"/>
        <v>1.8518785780714687E-2</v>
      </c>
      <c r="O19" s="3">
        <f t="shared" si="9"/>
        <v>1.8957946919043636E-2</v>
      </c>
      <c r="P19" s="3">
        <f t="shared" si="9"/>
        <v>5.2785062355888389E-2</v>
      </c>
      <c r="Q19" s="5">
        <f t="shared" si="9"/>
        <v>6.7169857571873937E-2</v>
      </c>
    </row>
    <row r="20" spans="1:17">
      <c r="A20" s="87" t="s">
        <v>36</v>
      </c>
      <c r="B20" s="90" t="s">
        <v>59</v>
      </c>
      <c r="C20" s="132">
        <f>s_C*s_EFres*(1/365)*s_ETres*(1/24)*Isospec!M19*s_Fin*s_Fi*s_Fam*s_Foff*s_GSFb</f>
        <v>2.2570640789520548E-5</v>
      </c>
      <c r="D20" s="132">
        <f>s_C*s_EFres*(1/365)*s_ETres*(1/24)*Isospec!L19*s_Fin*s_Fi*s_Fam*s_Foff*s_GSFb</f>
        <v>1.4006258052454338E-5</v>
      </c>
      <c r="E20" s="132">
        <f>s_C*s_EFres*(1/365)*s_ETres*(1/24)*Isospec!N19*s_Fin*s_Fi*s_Fam*s_Foff*s_GSFb</f>
        <v>1.9462383474554795E-5</v>
      </c>
      <c r="F20" s="132">
        <f>s_C*s_EFres*(1/365)*s_ETres*(1/24)*Isospec!O19*s_Fin*s_Fi*s_Fam*s_Foff*s_GSFb</f>
        <v>1.9936491916552512E-5</v>
      </c>
      <c r="G20" s="132">
        <f>s_C*s_EFres*(1/365)*s_ETres*(1/24)*Isospec!P19*s_Fin*s_Fi*s_Fam*s_Foff*s_GSFb</f>
        <v>1.7298776936004565E-5</v>
      </c>
      <c r="H20" s="2">
        <f>C20*Doses!I18</f>
        <v>1.2732911012436964E-9</v>
      </c>
      <c r="I20" s="3">
        <f>D20*Doses!L18</f>
        <v>1.5096197041580229E-10</v>
      </c>
      <c r="J20" s="3">
        <f>E20*Doses!M18</f>
        <v>2.1304459145654457E-10</v>
      </c>
      <c r="K20" s="3">
        <f>F20*Doses!N18</f>
        <v>6.256549639220176E-10</v>
      </c>
      <c r="L20" s="5">
        <f>G20*Doses!O18</f>
        <v>8.5309264435445232E-10</v>
      </c>
      <c r="M20" s="2">
        <f t="shared" ref="M20:Q23" si="10">IFERROR(H20/_1_bq,".")</f>
        <v>4.7111770746016817E-11</v>
      </c>
      <c r="N20" s="3">
        <f t="shared" si="10"/>
        <v>5.5855929053846904E-12</v>
      </c>
      <c r="O20" s="3">
        <f t="shared" si="10"/>
        <v>7.8826498838921577E-12</v>
      </c>
      <c r="P20" s="3">
        <f t="shared" si="10"/>
        <v>2.3149233665114675E-11</v>
      </c>
      <c r="Q20" s="5">
        <f t="shared" si="10"/>
        <v>3.1564427841114769E-11</v>
      </c>
    </row>
    <row r="21" spans="1:17">
      <c r="A21" s="87" t="s">
        <v>37</v>
      </c>
      <c r="B21" s="12" t="s">
        <v>59</v>
      </c>
      <c r="C21" s="132">
        <f>s_C*s_EFres*(1/365)*s_ETres*(1/24)*Isospec!M20*s_Fin*s_Fi*s_Fam*s_Foff*s_GSFb</f>
        <v>9.0121716419166667E-5</v>
      </c>
      <c r="D21" s="132">
        <f>s_C*s_EFres*(1/365)*s_ETres*(1/24)*Isospec!L20*s_Fin*s_Fi*s_Fam*s_Foff*s_GSFb</f>
        <v>5.8322721555422374E-5</v>
      </c>
      <c r="E21" s="132">
        <f>s_C*s_EFres*(1/365)*s_ETres*(1/24)*Isospec!N20*s_Fin*s_Fi*s_Fam*s_Foff*s_GSFb</f>
        <v>7.9446953509577621E-5</v>
      </c>
      <c r="F21" s="132">
        <f>s_C*s_EFres*(1/365)*s_ETres*(1/24)*Isospec!O20*s_Fin*s_Fi*s_Fam*s_Foff*s_GSFb</f>
        <v>8.1485171716792231E-5</v>
      </c>
      <c r="G21" s="132">
        <f>s_C*s_EFres*(1/365)*s_ETres*(1/24)*Isospec!P20*s_Fin*s_Fi*s_Fam*s_Foff*s_GSFb</f>
        <v>7.0128168789337897E-5</v>
      </c>
      <c r="H21" s="2">
        <f>C21*Doses!I19</f>
        <v>1.9528294487436388E-8</v>
      </c>
      <c r="I21" s="3">
        <f>D21*Doses!L19</f>
        <v>2.4339996354889086E-9</v>
      </c>
      <c r="J21" s="3">
        <f>E21*Doses!M19</f>
        <v>3.3539961469231365E-9</v>
      </c>
      <c r="K21" s="3">
        <f>F21*Doses!N19</f>
        <v>9.8482652596228229E-9</v>
      </c>
      <c r="L21" s="5">
        <f>G21*Doses!O19</f>
        <v>1.3361940768445285E-8</v>
      </c>
      <c r="M21" s="2">
        <f t="shared" si="10"/>
        <v>7.2254689603514713E-10</v>
      </c>
      <c r="N21" s="3">
        <f t="shared" si="10"/>
        <v>9.0057986513089714E-11</v>
      </c>
      <c r="O21" s="3">
        <f t="shared" si="10"/>
        <v>1.2409785743615617E-10</v>
      </c>
      <c r="P21" s="3">
        <f t="shared" si="10"/>
        <v>3.6438581460604483E-10</v>
      </c>
      <c r="Q21" s="5">
        <f t="shared" si="10"/>
        <v>4.9439180843247608E-10</v>
      </c>
    </row>
    <row r="22" spans="1:17">
      <c r="A22" s="87" t="s">
        <v>38</v>
      </c>
      <c r="B22" s="90" t="s">
        <v>59</v>
      </c>
      <c r="C22" s="132">
        <f>s_C*s_EFres*(1/365)*s_ETres*(1/24)*Isospec!M21*s_Fin*s_Fi*s_Fam*s_Foff*s_GSFb</f>
        <v>1.9412864013847032E-4</v>
      </c>
      <c r="D22" s="132">
        <f>s_C*s_EFres*(1/365)*s_ETres*(1/24)*Isospec!L21*s_Fin*s_Fi*s_Fam*s_Foff*s_GSFb</f>
        <v>1.2051034790704338E-4</v>
      </c>
      <c r="E22" s="132">
        <f>s_C*s_EFres*(1/365)*s_ETres*(1/24)*Isospec!N21*s_Fin*s_Fi*s_Fam*s_Foff*s_GSFb</f>
        <v>1.6747108738413244E-4</v>
      </c>
      <c r="F22" s="132">
        <f>s_C*s_EFres*(1/365)*s_ETres*(1/24)*Isospec!O21*s_Fin*s_Fi*s_Fam*s_Foff*s_GSFb</f>
        <v>1.7176554190194063E-4</v>
      </c>
      <c r="G22" s="132">
        <f>s_C*s_EFres*(1/365)*s_ETres*(1/24)*Isospec!P21*s_Fin*s_Fi*s_Fam*s_Foff*s_GSFb</f>
        <v>1.4894355333778538E-4</v>
      </c>
      <c r="H22" s="2">
        <f>C22*Doses!I20</f>
        <v>9.319650104311628E-8</v>
      </c>
      <c r="I22" s="3">
        <f>D22*Doses!L20</f>
        <v>1.1086988160552362E-8</v>
      </c>
      <c r="J22" s="3">
        <f>E22*Doses!M20</f>
        <v>1.5641799561677967E-8</v>
      </c>
      <c r="K22" s="3">
        <f>F22*Doses!N20</f>
        <v>4.5882698615013984E-8</v>
      </c>
      <c r="L22" s="5">
        <f>G22*Doses!O20</f>
        <v>6.2879202025506182E-8</v>
      </c>
      <c r="M22" s="2">
        <f t="shared" si="10"/>
        <v>3.4482705385953059E-9</v>
      </c>
      <c r="N22" s="3">
        <f t="shared" si="10"/>
        <v>4.1021856194043782E-10</v>
      </c>
      <c r="O22" s="3">
        <f t="shared" si="10"/>
        <v>5.787465837820854E-10</v>
      </c>
      <c r="P22" s="3">
        <f t="shared" si="10"/>
        <v>1.6976598487555192E-9</v>
      </c>
      <c r="Q22" s="5">
        <f t="shared" si="10"/>
        <v>2.326530474943731E-9</v>
      </c>
    </row>
    <row r="23" spans="1:17">
      <c r="A23" s="87" t="s">
        <v>39</v>
      </c>
      <c r="B23" s="90" t="s">
        <v>59</v>
      </c>
      <c r="C23" s="132">
        <f>s_C*s_EFres*(1/365)*s_ETres*(1/24)*Isospec!M22*s_Fin*s_Fi*s_Fam*s_Foff*s_GSFb</f>
        <v>0</v>
      </c>
      <c r="D23" s="132">
        <f>s_C*s_EFres*(1/365)*s_ETres*(1/24)*Isospec!L22*s_Fin*s_Fi*s_Fam*s_Foff*s_GSFb</f>
        <v>0</v>
      </c>
      <c r="E23" s="132">
        <f>s_C*s_EFres*(1/365)*s_ETres*(1/24)*Isospec!N22*s_Fin*s_Fi*s_Fam*s_Foff*s_GSFb</f>
        <v>0</v>
      </c>
      <c r="F23" s="132">
        <f>s_C*s_EFres*(1/365)*s_ETres*(1/24)*Isospec!O22*s_Fin*s_Fi*s_Fam*s_Foff*s_GSFb</f>
        <v>0</v>
      </c>
      <c r="G23" s="132">
        <f>s_C*s_EFres*(1/365)*s_ETres*(1/24)*Isospec!P22*s_Fin*s_Fi*s_Fam*s_Foff*s_GSFb</f>
        <v>0</v>
      </c>
      <c r="H23" s="2">
        <f>C23*Doses!I21</f>
        <v>0</v>
      </c>
      <c r="I23" s="3">
        <f>D23*Doses!L21</f>
        <v>0</v>
      </c>
      <c r="J23" s="3">
        <f>E23*Doses!M21</f>
        <v>0</v>
      </c>
      <c r="K23" s="3">
        <f>F23*Doses!N21</f>
        <v>0</v>
      </c>
      <c r="L23" s="5">
        <f>G23*Doses!O21</f>
        <v>0</v>
      </c>
      <c r="M23" s="2">
        <f t="shared" si="10"/>
        <v>0</v>
      </c>
      <c r="N23" s="3">
        <f t="shared" si="10"/>
        <v>0</v>
      </c>
      <c r="O23" s="3">
        <f t="shared" si="10"/>
        <v>0</v>
      </c>
      <c r="P23" s="3">
        <f t="shared" si="10"/>
        <v>0</v>
      </c>
      <c r="Q23" s="5">
        <f t="shared" si="10"/>
        <v>0</v>
      </c>
    </row>
    <row r="24" spans="1:17">
      <c r="A24" s="87" t="s">
        <v>26</v>
      </c>
      <c r="B24" s="12" t="s">
        <v>59</v>
      </c>
      <c r="C24" s="132">
        <f>s_C*s_EFres*(1/365)*s_ETres*(1/24)*Isospec!M23*s_Fin*s_Fi*s_Fam*s_Foff*s_GSFb</f>
        <v>1.0380164975499477</v>
      </c>
      <c r="D24" s="132">
        <f>s_C*s_EFres*(1/365)*s_ETres*(1/24)*Isospec!L23*s_Fin*s_Fi*s_Fam*s_Foff*s_GSFb</f>
        <v>0.92387600461084474</v>
      </c>
      <c r="E24" s="132">
        <f>s_C*s_EFres*(1/365)*s_ETres*(1/24)*Isospec!N23*s_Fin*s_Fi*s_Fam*s_Foff*s_GSFb</f>
        <v>0.58199190511050225</v>
      </c>
      <c r="F24" s="132">
        <f>s_C*s_EFres*(1/365)*s_ETres*(1/24)*Isospec!O23*s_Fin*s_Fi*s_Fam*s_Foff*s_GSFb</f>
        <v>0.61401573131061638</v>
      </c>
      <c r="G24" s="132">
        <f>s_C*s_EFres*(1/365)*s_ETres*(1/24)*Isospec!P23*s_Fin*s_Fi*s_Fam*s_Foff*s_GSFb</f>
        <v>0.55695550450079911</v>
      </c>
      <c r="H24" s="2">
        <f>C24*Doses!I22</f>
        <v>9.249100679109154E-3</v>
      </c>
      <c r="I24" s="3">
        <f>D24*Doses!L22</f>
        <v>1.1880121543290854E-2</v>
      </c>
      <c r="J24" s="3">
        <f>E24*Doses!M22</f>
        <v>3.761576640462607E-3</v>
      </c>
      <c r="K24" s="3">
        <f>F24*Doses!N22</f>
        <v>5.4481615839190997E-3</v>
      </c>
      <c r="L24" s="5">
        <f>G24*Doses!O22</f>
        <v>4.9626740490837408E-3</v>
      </c>
      <c r="M24" s="2">
        <f t="shared" ref="M24:Q25" si="11">IFERROR(H24/_1_bq,".")</f>
        <v>3.4221672512703904E-4</v>
      </c>
      <c r="N24" s="3">
        <f t="shared" si="11"/>
        <v>4.3956449710176202E-4</v>
      </c>
      <c r="O24" s="3">
        <f t="shared" si="11"/>
        <v>1.3917833569711659E-4</v>
      </c>
      <c r="P24" s="3">
        <f t="shared" si="11"/>
        <v>2.0158197860500689E-4</v>
      </c>
      <c r="Q24" s="5">
        <f t="shared" si="11"/>
        <v>1.8361893981609859E-4</v>
      </c>
    </row>
    <row r="25" spans="1:17">
      <c r="A25" s="88" t="s">
        <v>27</v>
      </c>
      <c r="B25" s="90" t="s">
        <v>44</v>
      </c>
      <c r="C25" s="132">
        <f>s_C*s_EFres*(1/365)*s_ETres*(1/24)*Isospec!M24*s_Fin*s_Fi*s_Fam*s_Foff*s_GSFb</f>
        <v>6.3118592438652962E-2</v>
      </c>
      <c r="D25" s="132">
        <f>s_C*s_EFres*(1/365)*s_ETres*(1/24)*Isospec!L24*s_Fin*s_Fi*s_Fam*s_Foff*s_GSFb</f>
        <v>1.254441395190677</v>
      </c>
      <c r="E25" s="132">
        <f>s_C*s_EFres*(1/365)*s_ETres*(1/24)*Isospec!N24*s_Fin*s_Fi*s_Fam*s_Foff*s_GSFb</f>
        <v>1.6296934316642682</v>
      </c>
      <c r="F25" s="132">
        <f>s_C*s_EFres*(1/365)*s_ETres*(1/24)*Isospec!O24*s_Fin*s_Fi*s_Fam*s_Foff*s_GSFb</f>
        <v>1.6009529326587122</v>
      </c>
      <c r="G25" s="132">
        <f>s_C*s_EFres*(1/365)*s_ETres*(1/24)*Isospec!P24*s_Fin*s_Fi*s_Fam*s_Foff*s_GSFb</f>
        <v>1.6952900242185605</v>
      </c>
      <c r="H25" s="2">
        <f>C25*Doses!I23</f>
        <v>2.0043940214818637E-3</v>
      </c>
      <c r="I25" s="3">
        <f>D25*Doses!L23</f>
        <v>9.7958324997323813E-3</v>
      </c>
      <c r="J25" s="3">
        <f>E25*Doses!M23</f>
        <v>1.2907693480679137E-2</v>
      </c>
      <c r="K25" s="3">
        <f>F25*Doses!N23</f>
        <v>3.4989786915015753E-2</v>
      </c>
      <c r="L25" s="5">
        <f>G25*Doses!O23</f>
        <v>5.2568909302988499E-2</v>
      </c>
      <c r="M25" s="2">
        <f t="shared" si="11"/>
        <v>7.4162578794829026E-5</v>
      </c>
      <c r="N25" s="3">
        <f t="shared" si="11"/>
        <v>3.6244580249009849E-4</v>
      </c>
      <c r="O25" s="3">
        <f t="shared" si="11"/>
        <v>4.7758465878512853E-4</v>
      </c>
      <c r="P25" s="3">
        <f t="shared" si="11"/>
        <v>1.2946221158555841E-3</v>
      </c>
      <c r="Q25" s="5">
        <f t="shared" si="11"/>
        <v>1.9450496442105765E-3</v>
      </c>
    </row>
    <row r="26" spans="1:17">
      <c r="A26" s="87" t="s">
        <v>30</v>
      </c>
      <c r="B26" s="90" t="s">
        <v>59</v>
      </c>
      <c r="C26" s="132">
        <f>s_C*s_EFres*(1/365)*s_ETres*(1/24)*Isospec!M25*s_Fin*s_Fi*s_Fam*s_Foff*s_GSFb</f>
        <v>2.1263984919783104E-3</v>
      </c>
      <c r="D26" s="132">
        <f>s_C*s_EFres*(1/365)*s_ETres*(1/24)*Isospec!L25*s_Fin*s_Fi*s_Fam*s_Foff*s_GSFb</f>
        <v>1.4833079033515981E-3</v>
      </c>
      <c r="E26" s="132">
        <f>s_C*s_EFres*(1/365)*s_ETres*(1/24)*Isospec!N25*s_Fin*s_Fi*s_Fam*s_Foff*s_GSFb</f>
        <v>2.0176361948378995E-3</v>
      </c>
      <c r="F26" s="132">
        <f>s_C*s_EFres*(1/365)*s_ETres*(1/24)*Isospec!O25*s_Fin*s_Fi*s_Fam*s_Foff*s_GSFb</f>
        <v>2.2139194126449772E-3</v>
      </c>
      <c r="G26" s="132">
        <f>s_C*s_EFres*(1/365)*s_ETres*(1/24)*Isospec!P25*s_Fin*s_Fi*s_Fam*s_Foff*s_GSFb</f>
        <v>1.7480854044349314E-3</v>
      </c>
      <c r="H26" s="2">
        <f>C26*Doses!I24</f>
        <v>9.0564162332753036E-6</v>
      </c>
      <c r="I26" s="3">
        <f>D26*Doses!L24</f>
        <v>1.2554065438490453E-6</v>
      </c>
      <c r="J26" s="3">
        <f>E26*Doses!M24</f>
        <v>1.729945485088353E-6</v>
      </c>
      <c r="K26" s="3">
        <f>F26*Doses!N24</f>
        <v>5.4176379162952709E-6</v>
      </c>
      <c r="L26" s="5">
        <f>G26*Doses!O24</f>
        <v>6.6614640123882824E-6</v>
      </c>
      <c r="M26" s="2">
        <f t="shared" ref="M26:Q27" si="12">IFERROR(H26/_1_bq,".")</f>
        <v>3.3508740063118657E-7</v>
      </c>
      <c r="N26" s="3">
        <f t="shared" si="12"/>
        <v>4.6450042122414719E-8</v>
      </c>
      <c r="O26" s="3">
        <f t="shared" si="12"/>
        <v>6.4007982948269121E-8</v>
      </c>
      <c r="P26" s="3">
        <f t="shared" si="12"/>
        <v>2.0045260290292522E-7</v>
      </c>
      <c r="Q26" s="5">
        <f t="shared" si="12"/>
        <v>2.4647416845836668E-7</v>
      </c>
    </row>
    <row r="27" spans="1:17">
      <c r="A27" s="88" t="s">
        <v>31</v>
      </c>
      <c r="B27" s="90" t="s">
        <v>44</v>
      </c>
      <c r="C27" s="132">
        <f>s_C*s_EFres*(1/365)*s_ETres*(1/24)*Isospec!M26*s_Fin*s_Fi*s_Fam*s_Foff*s_GSFb</f>
        <v>1.3232002747534247E-3</v>
      </c>
      <c r="D27" s="132">
        <f>s_C*s_EFres*(1/365)*s_ETres*(1/24)*Isospec!L26*s_Fin*s_Fi*s_Fam*s_Foff*s_GSFb</f>
        <v>9.3635426727785385E-4</v>
      </c>
      <c r="E27" s="132">
        <f>s_C*s_EFres*(1/365)*s_ETres*(1/24)*Isospec!N26*s_Fin*s_Fi*s_Fam*s_Foff*s_GSFb</f>
        <v>1.2244365330158675E-3</v>
      </c>
      <c r="F27" s="132">
        <f>s_C*s_EFres*(1/365)*s_ETres*(1/24)*Isospec!O26*s_Fin*s_Fi*s_Fam*s_Foff*s_GSFb</f>
        <v>1.4240730746803651E-3</v>
      </c>
      <c r="G27" s="132">
        <f>s_C*s_EFres*(1/365)*s_ETres*(1/24)*Isospec!P26*s_Fin*s_Fi*s_Fam*s_Foff*s_GSFb</f>
        <v>1.3278887707614156E-3</v>
      </c>
      <c r="H27" s="2">
        <f>C27*Doses!I25</f>
        <v>2.8177814490929135E-6</v>
      </c>
      <c r="I27" s="3">
        <f>D27*Doses!L25</f>
        <v>4.0719050750258575E-7</v>
      </c>
      <c r="J27" s="3">
        <f>E27*Doses!M25</f>
        <v>5.3979039670697912E-7</v>
      </c>
      <c r="K27" s="3">
        <f>F27*Doses!N25</f>
        <v>1.7902934028574665E-6</v>
      </c>
      <c r="L27" s="5">
        <f>G27*Doses!O25</f>
        <v>2.5797160727336173E-6</v>
      </c>
      <c r="M27" s="2">
        <f t="shared" si="12"/>
        <v>1.0425791361643791E-7</v>
      </c>
      <c r="N27" s="3">
        <f t="shared" si="12"/>
        <v>1.5066048777595687E-8</v>
      </c>
      <c r="O27" s="3">
        <f t="shared" si="12"/>
        <v>1.9972244678158248E-8</v>
      </c>
      <c r="P27" s="3">
        <f t="shared" si="12"/>
        <v>6.6240855905726329E-8</v>
      </c>
      <c r="Q27" s="5">
        <f t="shared" si="12"/>
        <v>9.5449494691143933E-8</v>
      </c>
    </row>
    <row r="28" spans="1:17">
      <c r="A28" s="87" t="s">
        <v>35</v>
      </c>
      <c r="B28" s="12" t="s">
        <v>59</v>
      </c>
      <c r="C28" s="132">
        <f>s_C*s_EFres*(1/365)*s_ETres*(1/24)*Isospec!M27*s_Fin*s_Fi*s_Fam*s_Foff*s_GSFb</f>
        <v>0.84648590333842788</v>
      </c>
      <c r="D28" s="132">
        <f>s_C*s_EFres*(1/365)*s_ETres*(1/24)*Isospec!L27*s_Fin*s_Fi*s_Fam*s_Foff*s_GSFb</f>
        <v>4.3839439486358449</v>
      </c>
      <c r="E28" s="132">
        <f>s_C*s_EFres*(1/365)*s_ETres*(1/24)*Isospec!N27*s_Fin*s_Fi*s_Fam*s_Foff*s_GSFb</f>
        <v>2.9188469966860731</v>
      </c>
      <c r="F28" s="132">
        <f>s_C*s_EFres*(1/365)*s_ETres*(1/24)*Isospec!O27*s_Fin*s_Fi*s_Fam*s_Foff*s_GSFb</f>
        <v>2.943436119199772</v>
      </c>
      <c r="G28" s="132">
        <f>s_C*s_EFres*(1/365)*s_ETres*(1/24)*Isospec!P27*s_Fin*s_Fi*s_Fam*s_Foff*s_GSFb</f>
        <v>2.5127193793744294</v>
      </c>
      <c r="H28" s="2">
        <f>C28*Doses!I26</f>
        <v>0.24351029278517222</v>
      </c>
      <c r="I28" s="3">
        <f>D28*Doses!L26</f>
        <v>0.39717436188653593</v>
      </c>
      <c r="J28" s="3">
        <f>E28*Doses!M26</f>
        <v>0.25026544411225993</v>
      </c>
      <c r="K28" s="3">
        <f>F28*Doses!N26</f>
        <v>0.64330562446782535</v>
      </c>
      <c r="L28" s="5">
        <f>G28*Doses!O26</f>
        <v>0.71345148970205807</v>
      </c>
      <c r="M28" s="2">
        <f t="shared" ref="M28:Q28" si="13">IFERROR(H28/_1_bq,".")</f>
        <v>9.009880833051381E-3</v>
      </c>
      <c r="N28" s="3">
        <f t="shared" si="13"/>
        <v>1.4695451389801844E-2</v>
      </c>
      <c r="O28" s="3">
        <f t="shared" si="13"/>
        <v>9.2598214321536268E-3</v>
      </c>
      <c r="P28" s="3">
        <f t="shared" si="13"/>
        <v>2.3802308105309561E-2</v>
      </c>
      <c r="Q28" s="5">
        <f t="shared" si="13"/>
        <v>2.6397705118976177E-2</v>
      </c>
    </row>
    <row r="29" spans="1:17">
      <c r="A29" s="87" t="s">
        <v>40</v>
      </c>
      <c r="B29" s="90" t="s">
        <v>59</v>
      </c>
      <c r="C29" s="132">
        <f>s_C*s_EFres*(1/365)*s_ETres*(1/24)*Isospec!M28*s_Fin*s_Fi*s_Fam*s_Foff*s_GSFb</f>
        <v>1.0567973337593608E-3</v>
      </c>
      <c r="D29" s="132">
        <f>s_C*s_EFres*(1/365)*s_ETres*(1/24)*Isospec!L28*s_Fin*s_Fi*s_Fam*s_Foff*s_GSFb</f>
        <v>2.3807013728264839E-3</v>
      </c>
      <c r="E29" s="132">
        <f>s_C*s_EFres*(1/365)*s_ETres*(1/24)*Isospec!N28*s_Fin*s_Fi*s_Fam*s_Foff*s_GSFb</f>
        <v>1.9257515662100457E-3</v>
      </c>
      <c r="F29" s="132">
        <f>s_C*s_EFres*(1/365)*s_ETres*(1/24)*Isospec!O28*s_Fin*s_Fi*s_Fam*s_Foff*s_GSFb</f>
        <v>1.5259635881027397E-3</v>
      </c>
      <c r="G29" s="132">
        <f>s_C*s_EFres*(1/365)*s_ETres*(1/24)*Isospec!P28*s_Fin*s_Fi*s_Fam*s_Foff*s_GSFb</f>
        <v>1.5987060728732876E-3</v>
      </c>
      <c r="H29" s="2">
        <f>C29*Doses!I27</f>
        <v>1.3502826349123403E-5</v>
      </c>
      <c r="I29" s="3">
        <f>D29*Doses!L27</f>
        <v>1.7032204217585058E-4</v>
      </c>
      <c r="J29" s="3">
        <f>E29*Doses!M27</f>
        <v>1.4605053938262283E-5</v>
      </c>
      <c r="K29" s="3">
        <f>F29*Doses!N27</f>
        <v>1.6133829901379693E-5</v>
      </c>
      <c r="L29" s="5">
        <f>G29*Doses!O27</f>
        <v>1.9919174237329097E-5</v>
      </c>
      <c r="M29" s="2">
        <f t="shared" ref="M29:Q32" si="14">IFERROR(H29/_1_bq,".")</f>
        <v>4.9960457491756646E-7</v>
      </c>
      <c r="N29" s="3">
        <f t="shared" si="14"/>
        <v>6.3019155605064777E-6</v>
      </c>
      <c r="O29" s="3">
        <f t="shared" si="14"/>
        <v>5.4038699571570503E-7</v>
      </c>
      <c r="P29" s="3">
        <f t="shared" si="14"/>
        <v>5.9695170635104921E-7</v>
      </c>
      <c r="Q29" s="5">
        <f t="shared" si="14"/>
        <v>7.3700944678117736E-7</v>
      </c>
    </row>
    <row r="30" spans="1:17">
      <c r="A30" s="87" t="s">
        <v>41</v>
      </c>
      <c r="B30" s="12" t="s">
        <v>59</v>
      </c>
      <c r="C30" s="132">
        <f>s_C*s_EFres*(1/365)*s_ETres*(1/24)*Isospec!M29*s_Fin*s_Fi*s_Fam*s_Foff*s_GSFb</f>
        <v>4.4810667750913247</v>
      </c>
      <c r="D30" s="132">
        <f>s_C*s_EFres*(1/365)*s_ETres*(1/24)*Isospec!L29*s_Fin*s_Fi*s_Fam*s_Foff*s_GSFb</f>
        <v>4.1793600680936072</v>
      </c>
      <c r="E30" s="132">
        <f>s_C*s_EFres*(1/365)*s_ETres*(1/24)*Isospec!N29*s_Fin*s_Fi*s_Fam*s_Foff*s_GSFb</f>
        <v>5.112691878136987</v>
      </c>
      <c r="F30" s="132">
        <f>s_C*s_EFres*(1/365)*s_ETres*(1/24)*Isospec!O29*s_Fin*s_Fi*s_Fam*s_Foff*s_GSFb</f>
        <v>5.1410441163721465</v>
      </c>
      <c r="G30" s="132">
        <f>s_C*s_EFres*(1/365)*s_ETres*(1/24)*Isospec!P29*s_Fin*s_Fi*s_Fam*s_Foff*s_GSFb</f>
        <v>4.4366176089771692</v>
      </c>
      <c r="H30" s="2">
        <f>C30*Doses!I28</f>
        <v>57.6736595501484</v>
      </c>
      <c r="I30" s="3">
        <f>D30*Doses!L28</f>
        <v>9.8690572775948819</v>
      </c>
      <c r="J30" s="3">
        <f>E30*Doses!M28</f>
        <v>12.033640619733465</v>
      </c>
      <c r="K30" s="3">
        <f>F30*Doses!N28</f>
        <v>34.764562881967073</v>
      </c>
      <c r="L30" s="5">
        <f>G30*Doses!O28</f>
        <v>47.985213805766548</v>
      </c>
      <c r="M30" s="2">
        <f t="shared" si="14"/>
        <v>2.1339254033554931</v>
      </c>
      <c r="N30" s="3">
        <f t="shared" si="14"/>
        <v>0.36515511927101102</v>
      </c>
      <c r="O30" s="3">
        <f t="shared" si="14"/>
        <v>0.44524470293013862</v>
      </c>
      <c r="P30" s="3">
        <f t="shared" si="14"/>
        <v>1.286288826632783</v>
      </c>
      <c r="Q30" s="5">
        <f t="shared" si="14"/>
        <v>1.7754529108133641</v>
      </c>
    </row>
    <row r="31" spans="1:17">
      <c r="A31" s="87" t="s">
        <v>42</v>
      </c>
      <c r="B31" s="90" t="s">
        <v>59</v>
      </c>
      <c r="C31" s="132">
        <f>s_C*s_EFres*(1/365)*s_ETres*(1/24)*Isospec!M30*s_Fin*s_Fi*s_Fam*s_Foff*s_GSFb</f>
        <v>5.5489579785034238</v>
      </c>
      <c r="D31" s="132">
        <f>s_C*s_EFres*(1/365)*s_ETres*(1/24)*Isospec!L30*s_Fin*s_Fi*s_Fam*s_Foff*s_GSFb</f>
        <v>4.5695055501860731</v>
      </c>
      <c r="E31" s="132">
        <f>s_C*s_EFres*(1/365)*s_ETres*(1/24)*Isospec!N30*s_Fin*s_Fi*s_Fam*s_Foff*s_GSFb</f>
        <v>5.442835437605023</v>
      </c>
      <c r="F31" s="132">
        <f>s_C*s_EFres*(1/365)*s_ETres*(1/24)*Isospec!O30*s_Fin*s_Fi*s_Fam*s_Foff*s_GSFb</f>
        <v>5.5375233820399536</v>
      </c>
      <c r="G31" s="132">
        <f>s_C*s_EFres*(1/365)*s_ETres*(1/24)*Isospec!P30*s_Fin*s_Fi*s_Fam*s_Foff*s_GSFb</f>
        <v>4.7349541797865298</v>
      </c>
      <c r="H31" s="2">
        <f>C31*Doses!I29</f>
        <v>93.081772464522686</v>
      </c>
      <c r="I31" s="3">
        <f>D31*Doses!L29</f>
        <v>14.102225248762251</v>
      </c>
      <c r="J31" s="3">
        <f>E31*Doses!M29</f>
        <v>16.674235219811742</v>
      </c>
      <c r="K31" s="3">
        <f>F31*Doses!N29</f>
        <v>48.72068122173448</v>
      </c>
      <c r="L31" s="5">
        <f>G31*Doses!O29</f>
        <v>66.955850667358163</v>
      </c>
      <c r="M31" s="2">
        <f t="shared" si="14"/>
        <v>3.444025581187343</v>
      </c>
      <c r="N31" s="3">
        <f t="shared" si="14"/>
        <v>0.52178233420420383</v>
      </c>
      <c r="O31" s="3">
        <f t="shared" si="14"/>
        <v>0.61694670313303501</v>
      </c>
      <c r="P31" s="3">
        <f t="shared" si="14"/>
        <v>1.8026652052041776</v>
      </c>
      <c r="Q31" s="5">
        <f t="shared" si="14"/>
        <v>2.4773664746922544</v>
      </c>
    </row>
    <row r="32" spans="1:17" ht="13.5" thickBot="1">
      <c r="A32" s="87" t="s">
        <v>25</v>
      </c>
      <c r="B32" s="12" t="s">
        <v>59</v>
      </c>
      <c r="C32" s="132">
        <f>s_C*s_EFres*(1/365)*s_ETres*(1/24)*Isospec!M31*s_Fin*s_Fi*s_Fam*s_Foff*s_GSFb</f>
        <v>0.78575424741830524</v>
      </c>
      <c r="D32" s="132">
        <f>s_C*s_EFres*(1/365)*s_ETres*(1/24)*Isospec!L31*s_Fin*s_Fi*s_Fam*s_Foff*s_GSFb</f>
        <v>0.22738111408105025</v>
      </c>
      <c r="E32" s="132">
        <f>s_C*s_EFres*(1/365)*s_ETres*(1/24)*Isospec!N31*s_Fin*s_Fi*s_Fam*s_Foff*s_GSFb</f>
        <v>0.11097511651542237</v>
      </c>
      <c r="F32" s="132">
        <f>s_C*s_EFres*(1/365)*s_ETres*(1/24)*Isospec!O31*s_Fin*s_Fi*s_Fam*s_Foff*s_GSFb</f>
        <v>0.13506737404931507</v>
      </c>
      <c r="G32" s="132">
        <f>s_C*s_EFres*(1/365)*s_ETres*(1/24)*Isospec!P31*s_Fin*s_Fi*s_Fam*s_Foff*s_GSFb</f>
        <v>0.10681335286115297</v>
      </c>
      <c r="H32" s="2">
        <f>C32*Doses!I30</f>
        <v>7.2215215561527793E-4</v>
      </c>
      <c r="I32" s="3">
        <f>D32*Doses!L30</f>
        <v>1.2652485664371593E-4</v>
      </c>
      <c r="J32" s="3">
        <f>E32*Doses!M30</f>
        <v>3.0058720059367301E-5</v>
      </c>
      <c r="K32" s="3">
        <f>F32*Doses!N30</f>
        <v>8.8559355008166314E-5</v>
      </c>
      <c r="L32" s="5">
        <f>G32*Doses!O30</f>
        <v>9.4975015336845663E-5</v>
      </c>
      <c r="M32" s="2">
        <f t="shared" si="14"/>
        <v>2.6719629757765311E-5</v>
      </c>
      <c r="N32" s="3">
        <f t="shared" si="14"/>
        <v>4.6814196958174941E-6</v>
      </c>
      <c r="O32" s="3">
        <f t="shared" si="14"/>
        <v>1.1121726421965913E-6</v>
      </c>
      <c r="P32" s="3">
        <f t="shared" si="14"/>
        <v>3.2766961353021569E-6</v>
      </c>
      <c r="Q32" s="5">
        <f t="shared" si="14"/>
        <v>3.5140755674632931E-6</v>
      </c>
    </row>
    <row r="33" spans="1:17" ht="15">
      <c r="A33" s="109" t="s">
        <v>14</v>
      </c>
      <c r="B33" s="109" t="s">
        <v>59</v>
      </c>
      <c r="C33" s="132"/>
      <c r="D33" s="132"/>
      <c r="E33" s="132"/>
      <c r="F33" s="132"/>
      <c r="G33" s="132"/>
      <c r="H33" s="110">
        <f>SUM(H34:H46)</f>
        <v>3.7336973846281123</v>
      </c>
      <c r="I33" s="111">
        <f t="shared" ref="I33:L33" si="15">SUM(I34:I46)</f>
        <v>1.5933647689998467</v>
      </c>
      <c r="J33" s="111">
        <f t="shared" si="15"/>
        <v>1.2834217316272836</v>
      </c>
      <c r="K33" s="111">
        <f t="shared" si="15"/>
        <v>3.6644577018821338</v>
      </c>
      <c r="L33" s="111">
        <f t="shared" si="15"/>
        <v>4.3898565454426537</v>
      </c>
      <c r="M33" s="110">
        <f>IFERROR(H33/_1_bq,".")</f>
        <v>0.13814680323124029</v>
      </c>
      <c r="N33" s="111">
        <f t="shared" ref="N33:N65" si="16">IFERROR(I33/_1_bq,".")</f>
        <v>5.8954496452994387E-2</v>
      </c>
      <c r="O33" s="111">
        <f t="shared" ref="O33:O65" si="17">IFERROR(J33/_1_bq,".")</f>
        <v>4.7486604070209541E-2</v>
      </c>
      <c r="P33" s="111">
        <f t="shared" ref="P33:P65" si="18">IFERROR(K33/_1_bq,".")</f>
        <v>0.13558493496963908</v>
      </c>
      <c r="Q33" s="112">
        <f t="shared" ref="Q33:Q65" si="19">IFERROR(L33/_1_bq,".")</f>
        <v>0.16242469218137834</v>
      </c>
    </row>
    <row r="34" spans="1:17" ht="15">
      <c r="A34" s="113" t="s">
        <v>175</v>
      </c>
      <c r="B34" s="114">
        <v>1</v>
      </c>
      <c r="C34" s="132"/>
      <c r="D34" s="132"/>
      <c r="E34" s="132"/>
      <c r="F34" s="132"/>
      <c r="G34" s="132"/>
      <c r="H34" s="115">
        <f>IFERROR(VLOOKUP("Am-241",$A$4:$Q$32,3)*VLOOKUP("Am-241",Doses!$A$1:$O$30,9)*$B34,0)</f>
        <v>2.1864416567272411E-2</v>
      </c>
      <c r="I34" s="127">
        <f>IFERROR(VLOOKUP("Am-241",$A$4:$Q$32,4)*VLOOKUP("Am-241",Doses!$A$1:$O$30,12)*$B34,0)</f>
        <v>3.4028193650193932E-2</v>
      </c>
      <c r="J34" s="127">
        <f>IFERROR(VLOOKUP("Am-241",$A$4:$Q$32,5)*VLOOKUP("Am-241",Doses!$A$1:$O$30,13)*$B34,0)</f>
        <v>2.517659177662504E-2</v>
      </c>
      <c r="K34" s="127">
        <f>IFERROR(VLOOKUP("Am-241",$A$4:$Q$32,6)*VLOOKUP("Am-241",Doses!$A$1:$O$30,14)*$B34,0)</f>
        <v>4.2824053994632925E-2</v>
      </c>
      <c r="L34" s="127">
        <f>IFERROR(VLOOKUP("Am-241",$A$4:$Q$32,7)*VLOOKUP("Am-241",Doses!$A$1:$O$30,15)*$B34,0)</f>
        <v>2.9549491904463088E-2</v>
      </c>
      <c r="M34" s="115">
        <f t="shared" ref="M34:M65" si="20">IFERROR(H34/_1_bq,".")</f>
        <v>8.0898341298907999E-4</v>
      </c>
      <c r="N34" s="127">
        <f t="shared" si="16"/>
        <v>1.2590431650571767E-3</v>
      </c>
      <c r="O34" s="127">
        <f t="shared" si="17"/>
        <v>9.3153389573512747E-4</v>
      </c>
      <c r="P34" s="127">
        <f t="shared" si="18"/>
        <v>1.58448999780142E-3</v>
      </c>
      <c r="Q34" s="117">
        <f t="shared" si="19"/>
        <v>1.0933312004651353E-3</v>
      </c>
    </row>
    <row r="35" spans="1:17" ht="15">
      <c r="A35" s="113" t="s">
        <v>176</v>
      </c>
      <c r="B35" s="114">
        <v>1</v>
      </c>
      <c r="C35" s="132"/>
      <c r="D35" s="132"/>
      <c r="E35" s="132"/>
      <c r="F35" s="132"/>
      <c r="G35" s="132"/>
      <c r="H35" s="115">
        <f>IFERROR(VLOOKUP("Np-237",$A$4:$Q$32,3)*VLOOKUP("Np-237",Doses!$A$1:$O$31,9)*$B35,0)</f>
        <v>5.0256663169167493E-2</v>
      </c>
      <c r="I35" s="127">
        <f>IFERROR(VLOOKUP("Np-237",$A$4:$Q$32,4)*VLOOKUP("Np-237",Doses!$A$1:$O$31,12)*$B35,0)</f>
        <v>7.197446265527542E-2</v>
      </c>
      <c r="J35" s="127">
        <f>IFERROR(VLOOKUP("Np-237",$A$4:$Q$32,5)*VLOOKUP("Np-237",Doses!$A$1:$O$31,13)*$B35,0)</f>
        <v>3.3039044881422737E-2</v>
      </c>
      <c r="K35" s="127">
        <f>IFERROR(VLOOKUP("Np-237",$A$4:$Q$32,6)*VLOOKUP("Np-237",Doses!$A$1:$O$31,14)*$B35,0)</f>
        <v>8.9163128265352956E-2</v>
      </c>
      <c r="L35" s="127">
        <f>IFERROR(VLOOKUP("Np-237",$A$4:$Q$32,7)*VLOOKUP("Np-237",Doses!$A$1:$O$31,15)*$B35,0)</f>
        <v>9.4659416676539723E-2</v>
      </c>
      <c r="M35" s="115">
        <f t="shared" si="20"/>
        <v>1.8594965372591991E-3</v>
      </c>
      <c r="N35" s="127">
        <f t="shared" si="16"/>
        <v>2.6630551182451933E-3</v>
      </c>
      <c r="O35" s="127">
        <f t="shared" si="17"/>
        <v>1.2224446606126425E-3</v>
      </c>
      <c r="P35" s="127">
        <f t="shared" si="18"/>
        <v>3.2990357458180628E-3</v>
      </c>
      <c r="Q35" s="117">
        <f t="shared" si="19"/>
        <v>3.5023984170319735E-3</v>
      </c>
    </row>
    <row r="36" spans="1:17" ht="15">
      <c r="A36" s="113" t="s">
        <v>177</v>
      </c>
      <c r="B36" s="114">
        <v>1</v>
      </c>
      <c r="C36" s="132"/>
      <c r="D36" s="132"/>
      <c r="E36" s="132"/>
      <c r="F36" s="132"/>
      <c r="G36" s="132"/>
      <c r="H36" s="115">
        <f>IFERROR(VLOOKUP("Pa-233",$A$4:$Q$32,3)*VLOOKUP("Pa-233",Doses!$A$1:$O$32,9)*$B36,0)</f>
        <v>1.7993395397443204</v>
      </c>
      <c r="I36" s="127">
        <f>IFERROR(VLOOKUP("Pa-233",$A$4:$Q$32,4)*VLOOKUP("Pa-233",Doses!$A$1:$O$32,12)*$B36,0)</f>
        <v>0.76113953046760741</v>
      </c>
      <c r="J36" s="127">
        <f>IFERROR(VLOOKUP("Pa-233",$A$4:$Q$32,5)*VLOOKUP("Pa-233",Doses!$A$1:$O$32,13)*$B36,0)</f>
        <v>0.62174815317450627</v>
      </c>
      <c r="K36" s="127">
        <f>IFERROR(VLOOKUP("Pa-233",$A$4:$Q$32,6)*VLOOKUP("Pa-233",Doses!$A$1:$O$32,14)*$B36,0)</f>
        <v>1.8679840915463222</v>
      </c>
      <c r="L36" s="127">
        <f>IFERROR(VLOOKUP("Pa-233",$A$4:$Q$32,7)*VLOOKUP("Pa-233",Doses!$A$1:$O$32,15)*$B36,0)</f>
        <v>2.1703570502205558</v>
      </c>
      <c r="M36" s="115">
        <f t="shared" si="20"/>
        <v>6.6575562970539917E-2</v>
      </c>
      <c r="N36" s="127">
        <f t="shared" si="16"/>
        <v>2.8162162627301503E-2</v>
      </c>
      <c r="O36" s="127">
        <f t="shared" si="17"/>
        <v>2.3004681667456756E-2</v>
      </c>
      <c r="P36" s="127">
        <f t="shared" si="18"/>
        <v>6.9115411387213985E-2</v>
      </c>
      <c r="Q36" s="117">
        <f t="shared" si="19"/>
        <v>8.030321085816064E-2</v>
      </c>
    </row>
    <row r="37" spans="1:17" ht="15">
      <c r="A37" s="113" t="s">
        <v>178</v>
      </c>
      <c r="B37" s="114">
        <v>1</v>
      </c>
      <c r="C37" s="132"/>
      <c r="D37" s="132"/>
      <c r="E37" s="132"/>
      <c r="F37" s="132"/>
      <c r="G37" s="132"/>
      <c r="H37" s="115">
        <f>IFERROR(VLOOKUP("U-233",$A$4:$Q$32,3)*VLOOKUP("U-233",Doses!$A$1:$O$33,9)*$B37,0)</f>
        <v>7.2215215561527793E-4</v>
      </c>
      <c r="I37" s="127">
        <f>IFERROR(VLOOKUP("U-233",$A$4:$Q$32,4)*VLOOKUP("U-233",Doses!$A$1:$O$33,12)*$B37,0)</f>
        <v>1.2652485664371593E-4</v>
      </c>
      <c r="J37" s="127">
        <f>IFERROR(VLOOKUP("U-233",$A$4:$Q$32,5)*VLOOKUP("U-233",Doses!$A$1:$O$33,13)*$B37,0)</f>
        <v>3.0058720059367301E-5</v>
      </c>
      <c r="K37" s="127">
        <f>IFERROR(VLOOKUP("U-233",$A$4:$Q$32,6)*VLOOKUP("U-233",Doses!$A$1:$O$33,14)*$B37,0)</f>
        <v>8.8559355008166314E-5</v>
      </c>
      <c r="L37" s="127">
        <f>IFERROR(VLOOKUP("U-233",$A$4:$Q$32,7)*VLOOKUP("U-233",Doses!$A$1:$O$33,15)*$B37,0)</f>
        <v>9.4975015336845663E-5</v>
      </c>
      <c r="M37" s="115">
        <f t="shared" si="20"/>
        <v>2.6719629757765311E-5</v>
      </c>
      <c r="N37" s="127">
        <f t="shared" si="16"/>
        <v>4.6814196958174941E-6</v>
      </c>
      <c r="O37" s="127">
        <f t="shared" si="17"/>
        <v>1.1121726421965913E-6</v>
      </c>
      <c r="P37" s="127">
        <f t="shared" si="18"/>
        <v>3.2766961353021569E-6</v>
      </c>
      <c r="Q37" s="117">
        <f t="shared" si="19"/>
        <v>3.5140755674632931E-6</v>
      </c>
    </row>
    <row r="38" spans="1:17" ht="15">
      <c r="A38" s="113" t="s">
        <v>179</v>
      </c>
      <c r="B38" s="114">
        <v>1</v>
      </c>
      <c r="C38" s="132"/>
      <c r="D38" s="132"/>
      <c r="E38" s="132"/>
      <c r="F38" s="132"/>
      <c r="G38" s="132"/>
      <c r="H38" s="115">
        <f>IFERROR(VLOOKUP("Th-229",$A$4:$Q$32,3)*VLOOKUP("Th-229",Doses!$A$1:$O$34,9)*$B38,0)</f>
        <v>0.24351029278517222</v>
      </c>
      <c r="I38" s="127">
        <f>IFERROR(VLOOKUP("Th-229",$A$4:$Q$32,4)*VLOOKUP("Th-229",Doses!$A$1:$O$34,12)*$B38,0)</f>
        <v>0.39717436188653593</v>
      </c>
      <c r="J38" s="127">
        <f>IFERROR(VLOOKUP("Th-229",$A$4:$Q$32,5)*VLOOKUP("Th-229",Doses!$A$1:$O$34,13)*$B38,0)</f>
        <v>0.25026544411225993</v>
      </c>
      <c r="K38" s="127">
        <f>IFERROR(VLOOKUP("Th-229",$A$4:$Q$32,6)*VLOOKUP("Th-229",Doses!$A$1:$O$34,14)*$B38,0)</f>
        <v>0.64330562446782535</v>
      </c>
      <c r="L38" s="127">
        <f>IFERROR(VLOOKUP("Th-229",$A$4:$Q$32,7)*VLOOKUP("Th-229",Doses!$A$1:$O$34,15)*$B38,0)</f>
        <v>0.71345148970205807</v>
      </c>
      <c r="M38" s="115">
        <f t="shared" si="20"/>
        <v>9.009880833051381E-3</v>
      </c>
      <c r="N38" s="127">
        <f t="shared" si="16"/>
        <v>1.4695451389801844E-2</v>
      </c>
      <c r="O38" s="127">
        <f t="shared" si="17"/>
        <v>9.2598214321536268E-3</v>
      </c>
      <c r="P38" s="127">
        <f t="shared" si="18"/>
        <v>2.3802308105309561E-2</v>
      </c>
      <c r="Q38" s="117">
        <f t="shared" si="19"/>
        <v>2.6397705118976177E-2</v>
      </c>
    </row>
    <row r="39" spans="1:17" ht="15">
      <c r="A39" s="113" t="s">
        <v>180</v>
      </c>
      <c r="B39" s="114">
        <v>1</v>
      </c>
      <c r="C39" s="132"/>
      <c r="D39" s="132"/>
      <c r="E39" s="132"/>
      <c r="F39" s="132"/>
      <c r="G39" s="132"/>
      <c r="H39" s="115">
        <f>IFERROR(VLOOKUP("Ra-225",$A$4:$Q$32,3)*VLOOKUP("Ra-225",Doses!$A$1:$O$35,9)*$B39,0)</f>
        <v>9.249100679109154E-3</v>
      </c>
      <c r="I39" s="127">
        <f>IFERROR(VLOOKUP("Ra-225",$A$4:$Q$32,4)*VLOOKUP("Ra-225",Doses!$A$1:$O$35,12)*$B39,0)</f>
        <v>1.1880121543290854E-2</v>
      </c>
      <c r="J39" s="127">
        <f>IFERROR(VLOOKUP("Ra-225",$A$4:$Q$32,5)*VLOOKUP("Ra-225",Doses!$A$1:$O$35,13)*$B39,0)</f>
        <v>3.761576640462607E-3</v>
      </c>
      <c r="K39" s="127">
        <f>IFERROR(VLOOKUP("Ra-225",$A$4:$Q$32,6)*VLOOKUP("Ra-225",Doses!$A$1:$O$35,14)*$B39,0)</f>
        <v>5.4481615839190997E-3</v>
      </c>
      <c r="L39" s="127">
        <f>IFERROR(VLOOKUP("Ra-225",$A$4:$Q$32,7)*VLOOKUP("Ra-225",Doses!$A$1:$O$35,15)*$B39,0)</f>
        <v>4.9626740490837408E-3</v>
      </c>
      <c r="M39" s="115">
        <f t="shared" si="20"/>
        <v>3.4221672512703904E-4</v>
      </c>
      <c r="N39" s="127">
        <f t="shared" si="16"/>
        <v>4.3956449710176202E-4</v>
      </c>
      <c r="O39" s="127">
        <f t="shared" si="17"/>
        <v>1.3917833569711659E-4</v>
      </c>
      <c r="P39" s="127">
        <f t="shared" si="18"/>
        <v>2.0158197860500689E-4</v>
      </c>
      <c r="Q39" s="117">
        <f t="shared" si="19"/>
        <v>1.8361893981609859E-4</v>
      </c>
    </row>
    <row r="40" spans="1:17" ht="15">
      <c r="A40" s="113" t="s">
        <v>181</v>
      </c>
      <c r="B40" s="114">
        <v>1</v>
      </c>
      <c r="C40" s="132"/>
      <c r="D40" s="132"/>
      <c r="E40" s="132"/>
      <c r="F40" s="132"/>
      <c r="G40" s="132"/>
      <c r="H40" s="115">
        <f>IFERROR(VLOOKUP("Ac-225",$A$4:$Q$32,3)*VLOOKUP("Ac-225",Doses!$A$1:$O$36,9)*$B40,0)</f>
        <v>1.5906912271358639E-2</v>
      </c>
      <c r="I40" s="127">
        <f>IFERROR(VLOOKUP("Ac-225",$A$4:$Q$32,4)*VLOOKUP("Ac-225",Doses!$A$1:$O$36,12)*$B40,0)</f>
        <v>1.4634866548894138E-2</v>
      </c>
      <c r="J40" s="127">
        <f>IFERROR(VLOOKUP("Ac-225",$A$4:$Q$32,5)*VLOOKUP("Ac-225",Doses!$A$1:$O$36,13)*$B40,0)</f>
        <v>8.3243370251017742E-3</v>
      </c>
      <c r="K40" s="127">
        <f>IFERROR(VLOOKUP("Ac-225",$A$4:$Q$32,6)*VLOOKUP("Ac-225",Doses!$A$1:$O$36,14)*$B40,0)</f>
        <v>2.2777697779810927E-2</v>
      </c>
      <c r="L40" s="127">
        <f>IFERROR(VLOOKUP("Ac-225",$A$4:$Q$32,7)*VLOOKUP("Ac-225",Doses!$A$1:$O$36,15)*$B40,0)</f>
        <v>2.5933793275182276E-2</v>
      </c>
      <c r="M40" s="115">
        <f t="shared" si="20"/>
        <v>5.8855575404027026E-4</v>
      </c>
      <c r="N40" s="127">
        <f t="shared" si="16"/>
        <v>5.4149006230908361E-4</v>
      </c>
      <c r="O40" s="127">
        <f t="shared" si="17"/>
        <v>3.0800046992876594E-4</v>
      </c>
      <c r="P40" s="127">
        <f t="shared" si="18"/>
        <v>8.4277481785300517E-4</v>
      </c>
      <c r="Q40" s="117">
        <f t="shared" si="19"/>
        <v>9.5955035118174524E-4</v>
      </c>
    </row>
    <row r="41" spans="1:17" ht="15">
      <c r="A41" s="113" t="s">
        <v>182</v>
      </c>
      <c r="B41" s="114">
        <v>1</v>
      </c>
      <c r="C41" s="132"/>
      <c r="D41" s="132"/>
      <c r="E41" s="132"/>
      <c r="F41" s="132"/>
      <c r="G41" s="132"/>
      <c r="H41" s="115">
        <f>IFERROR(VLOOKUP("Fr-221",$A$4:$Q$32,3)*VLOOKUP("Fr-221",Doses!$A$1:$O$37,9)*$B41,0)</f>
        <v>3.0121578146168383E-2</v>
      </c>
      <c r="I41" s="127">
        <f>IFERROR(VLOOKUP("Fr-221",$A$4:$Q$32,4)*VLOOKUP("Fr-221",Doses!$A$1:$O$37,12)*$B41,0)</f>
        <v>9.2814651207099811E-3</v>
      </c>
      <c r="J41" s="127">
        <f>IFERROR(VLOOKUP("Fr-221",$A$4:$Q$32,5)*VLOOKUP("Fr-221",Doses!$A$1:$O$37,13)*$B41,0)</f>
        <v>1.0293357410249759E-2</v>
      </c>
      <c r="K41" s="127">
        <f>IFERROR(VLOOKUP("Fr-221",$A$4:$Q$32,6)*VLOOKUP("Fr-221",Doses!$A$1:$O$37,14)*$B41,0)</f>
        <v>2.6772111725341274E-2</v>
      </c>
      <c r="L41" s="127">
        <f>IFERROR(VLOOKUP("Fr-221",$A$4:$Q$32,7)*VLOOKUP("Fr-221",Doses!$A$1:$O$37,15)*$B41,0)</f>
        <v>3.1521458274420038E-2</v>
      </c>
      <c r="M41" s="115">
        <f t="shared" si="20"/>
        <v>1.1144983914082314E-3</v>
      </c>
      <c r="N41" s="127">
        <f t="shared" si="16"/>
        <v>3.4341420946626964E-4</v>
      </c>
      <c r="O41" s="127">
        <f t="shared" si="17"/>
        <v>3.8085422417924149E-4</v>
      </c>
      <c r="P41" s="127">
        <f t="shared" si="18"/>
        <v>9.9056813383762809E-4</v>
      </c>
      <c r="Q41" s="117">
        <f t="shared" si="19"/>
        <v>1.1662939561535425E-3</v>
      </c>
    </row>
    <row r="42" spans="1:17" ht="15">
      <c r="A42" s="113" t="s">
        <v>183</v>
      </c>
      <c r="B42" s="114">
        <v>1</v>
      </c>
      <c r="C42" s="132"/>
      <c r="D42" s="132"/>
      <c r="E42" s="132"/>
      <c r="F42" s="132"/>
      <c r="G42" s="132"/>
      <c r="H42" s="115">
        <f>IFERROR(VLOOKUP("At-217",$A$4:$Q$32,3)*VLOOKUP("At-217",Doses!$A$1:$O$38,9)*$B42,0)</f>
        <v>1.8897202777879715E-6</v>
      </c>
      <c r="I42" s="127">
        <f>IFERROR(VLOOKUP("At-217",$A$4:$Q$32,4)*VLOOKUP("At-217",Doses!$A$1:$O$38,12)*$B42,0)</f>
        <v>4.9435944416087171E-7</v>
      </c>
      <c r="J42" s="127">
        <f>IFERROR(VLOOKUP("At-217",$A$4:$Q$32,5)*VLOOKUP("At-217",Doses!$A$1:$O$38,13)*$B42,0)</f>
        <v>5.2976685033890902E-7</v>
      </c>
      <c r="K42" s="127">
        <f>IFERROR(VLOOKUP("At-217",$A$4:$Q$32,6)*VLOOKUP("At-217",Doses!$A$1:$O$38,14)*$B42,0)</f>
        <v>1.410869369225718E-6</v>
      </c>
      <c r="L42" s="127">
        <f>IFERROR(VLOOKUP("At-217",$A$4:$Q$32,7)*VLOOKUP("At-217",Doses!$A$1:$O$38,15)*$B42,0)</f>
        <v>1.8679079453628995E-6</v>
      </c>
      <c r="M42" s="115">
        <f t="shared" si="20"/>
        <v>6.9919650278155013E-8</v>
      </c>
      <c r="N42" s="127">
        <f t="shared" si="16"/>
        <v>1.8291299433952271E-8</v>
      </c>
      <c r="O42" s="127">
        <f t="shared" si="17"/>
        <v>1.9601373462539653E-8</v>
      </c>
      <c r="P42" s="127">
        <f t="shared" si="18"/>
        <v>5.2202166661351619E-8</v>
      </c>
      <c r="Q42" s="117">
        <f t="shared" si="19"/>
        <v>6.9112593978427356E-8</v>
      </c>
    </row>
    <row r="43" spans="1:17" ht="15">
      <c r="A43" s="113" t="s">
        <v>184</v>
      </c>
      <c r="B43" s="118">
        <v>0.99987999999999999</v>
      </c>
      <c r="C43" s="132"/>
      <c r="D43" s="132"/>
      <c r="E43" s="132"/>
      <c r="F43" s="132"/>
      <c r="G43" s="132"/>
      <c r="H43" s="115">
        <f>IFERROR(VLOOKUP("Bi-213",$A$4:$Q$32,3)*VLOOKUP("Bi-213",Doses!$A$1:$O$39,9)*$B43,0)</f>
        <v>0.35748998121184156</v>
      </c>
      <c r="I43" s="127">
        <f>IFERROR(VLOOKUP("Bi-213",$A$4:$Q$32,4)*VLOOKUP("Bi-213",Doses!$A$1:$O$39,12)*$B43,0)</f>
        <v>8.6886200022326887E-2</v>
      </c>
      <c r="J43" s="127">
        <f>IFERROR(VLOOKUP("Bi-213",$A$4:$Q$32,5)*VLOOKUP("Bi-213",Doses!$A$1:$O$39,13)*$B43,0)</f>
        <v>7.9309726254487276E-2</v>
      </c>
      <c r="K43" s="127">
        <f>IFERROR(VLOOKUP("Bi-213",$A$4:$Q$32,6)*VLOOKUP("Bi-213",Doses!$A$1:$O$39,14)*$B43,0)</f>
        <v>0.23960067794386897</v>
      </c>
      <c r="L43" s="127">
        <f>IFERROR(VLOOKUP("Bi-213",$A$4:$Q$32,7)*VLOOKUP("Bi-213",Doses!$A$1:$O$39,15)*$B43,0)</f>
        <v>0.31655369371166725</v>
      </c>
      <c r="M43" s="115">
        <f t="shared" si="20"/>
        <v>1.322712930483815E-2</v>
      </c>
      <c r="N43" s="127">
        <f t="shared" si="16"/>
        <v>3.214789400826098E-3</v>
      </c>
      <c r="O43" s="127">
        <f t="shared" si="17"/>
        <v>2.9344598714160322E-3</v>
      </c>
      <c r="P43" s="127">
        <f t="shared" si="18"/>
        <v>8.865225083923161E-3</v>
      </c>
      <c r="Q43" s="117">
        <f t="shared" si="19"/>
        <v>1.17124866673317E-2</v>
      </c>
    </row>
    <row r="44" spans="1:17" ht="15">
      <c r="A44" s="113" t="s">
        <v>185</v>
      </c>
      <c r="B44" s="114">
        <v>0.97898250799999997</v>
      </c>
      <c r="C44" s="132"/>
      <c r="D44" s="132"/>
      <c r="E44" s="132"/>
      <c r="F44" s="132"/>
      <c r="G44" s="132"/>
      <c r="H44" s="115">
        <f>IFERROR(VLOOKUP("Po-213",$A$4:$Q$32,3)*VLOOKUP("Po-213",Doses!$A$1:$O$40,9)*$B44,0)</f>
        <v>1.911785871427305E-8</v>
      </c>
      <c r="I44" s="127">
        <f>IFERROR(VLOOKUP("Po-213",$A$4:$Q$32,4)*VLOOKUP("Po-213",Doses!$A$1:$O$40,12)*$B44,0)</f>
        <v>2.3828430676220177E-9</v>
      </c>
      <c r="J44" s="127">
        <f>IFERROR(VLOOKUP("Po-213",$A$4:$Q$32,5)*VLOOKUP("Po-213",Doses!$A$1:$O$40,13)*$B44,0)</f>
        <v>3.2835035597371487E-9</v>
      </c>
      <c r="K44" s="127">
        <f>IFERROR(VLOOKUP("Po-213",$A$4:$Q$32,6)*VLOOKUP("Po-213",Doses!$A$1:$O$40,14)*$B44,0)</f>
        <v>9.6412794233148216E-9</v>
      </c>
      <c r="L44" s="127">
        <f>IFERROR(VLOOKUP("Po-213",$A$4:$Q$32,7)*VLOOKUP("Po-213",Doses!$A$1:$O$40,15)*$B44,0)</f>
        <v>1.3081106285240011E-8</v>
      </c>
      <c r="M44" s="115">
        <f t="shared" si="20"/>
        <v>7.0736077242810353E-10</v>
      </c>
      <c r="N44" s="127">
        <f t="shared" si="16"/>
        <v>8.8165193502014739E-11</v>
      </c>
      <c r="O44" s="127">
        <f t="shared" si="17"/>
        <v>1.2148963171027462E-10</v>
      </c>
      <c r="P44" s="127">
        <f t="shared" si="18"/>
        <v>3.5672733866264877E-10</v>
      </c>
      <c r="Q44" s="117">
        <f t="shared" si="19"/>
        <v>4.8400093255388094E-10</v>
      </c>
    </row>
    <row r="45" spans="1:17" ht="15">
      <c r="A45" s="113" t="s">
        <v>186</v>
      </c>
      <c r="B45" s="114">
        <v>2.0897492E-2</v>
      </c>
      <c r="C45" s="132"/>
      <c r="D45" s="132"/>
      <c r="E45" s="132"/>
      <c r="F45" s="132"/>
      <c r="G45" s="132"/>
      <c r="H45" s="115">
        <f>IFERROR(VLOOKUP("Tl-209",$A$4:$Q$32,3)*VLOOKUP("Tl-209",Doses!$A$1:$O$41,9)*$B45,0)</f>
        <v>1.2052348390599499</v>
      </c>
      <c r="I45" s="127">
        <f>IFERROR(VLOOKUP("Tl-209",$A$4:$Q$32,4)*VLOOKUP("Tl-209",Doses!$A$1:$O$41,12)*$B45,0)</f>
        <v>0.20623854550608084</v>
      </c>
      <c r="J45" s="127">
        <f>IFERROR(VLOOKUP("Tl-209",$A$4:$Q$32,5)*VLOOKUP("Tl-209",Doses!$A$1:$O$41,13)*$B45,0)</f>
        <v>0.25147290858175514</v>
      </c>
      <c r="K45" s="127">
        <f>IFERROR(VLOOKUP("Tl-209",$A$4:$Q$32,6)*VLOOKUP("Tl-209",Doses!$A$1:$O$41,14)*$B45,0)</f>
        <v>0.72649217470940386</v>
      </c>
      <c r="L45" s="127">
        <f>IFERROR(VLOOKUP("Tl-209",$A$4:$Q$32,7)*VLOOKUP("Tl-209",Doses!$A$1:$O$41,15)*$B45,0)</f>
        <v>1.002770621624296</v>
      </c>
      <c r="M45" s="115">
        <f t="shared" si="20"/>
        <v>4.4593689045218189E-2</v>
      </c>
      <c r="N45" s="127">
        <f t="shared" si="16"/>
        <v>7.630826183724999E-3</v>
      </c>
      <c r="O45" s="127">
        <f t="shared" si="17"/>
        <v>9.3044976175249497E-3</v>
      </c>
      <c r="P45" s="127">
        <f t="shared" si="18"/>
        <v>2.6880210464247972E-2</v>
      </c>
      <c r="Q45" s="117">
        <f t="shared" si="19"/>
        <v>3.7102513000098987E-2</v>
      </c>
    </row>
    <row r="46" spans="1:17" ht="15">
      <c r="A46" s="113" t="s">
        <v>187</v>
      </c>
      <c r="B46" s="114">
        <v>0.99987999999999999</v>
      </c>
      <c r="C46" s="132"/>
      <c r="D46" s="132"/>
      <c r="E46" s="132"/>
      <c r="F46" s="132"/>
      <c r="G46" s="132"/>
      <c r="H46" s="115">
        <f>IFERROR(VLOOKUP("Pb-209",$A$4:$Q$32,3)*VLOOKUP("Pb-209",Doses!$A$1:$O$42,9)*$B46,0)</f>
        <v>0</v>
      </c>
      <c r="I46" s="127">
        <f>IFERROR(VLOOKUP("Pb-209",$A$4:$Q$32,4)*VLOOKUP("Pb-209",Doses!$A$1:$O$42,12)*$B46,0)</f>
        <v>0</v>
      </c>
      <c r="J46" s="127">
        <f>IFERROR(VLOOKUP("Pb-209",$A$4:$Q$32,5)*VLOOKUP("Pb-209",Doses!$A$1:$O$42,13)*$B46,0)</f>
        <v>0</v>
      </c>
      <c r="K46" s="127">
        <f>IFERROR(VLOOKUP("Pb-209",$A$4:$Q$32,6)*VLOOKUP("Pb-209",Doses!$A$1:$O$42,14)*$B46,0)</f>
        <v>0</v>
      </c>
      <c r="L46" s="127">
        <f>IFERROR(VLOOKUP("Pb-209",$A$4:$Q$32,7)*VLOOKUP("Pb-209",Doses!$A$1:$O$42,15)*$B46,0)</f>
        <v>0</v>
      </c>
      <c r="M46" s="115">
        <f t="shared" si="20"/>
        <v>0</v>
      </c>
      <c r="N46" s="127">
        <f t="shared" si="16"/>
        <v>0</v>
      </c>
      <c r="O46" s="127">
        <f t="shared" si="17"/>
        <v>0</v>
      </c>
      <c r="P46" s="127">
        <f t="shared" si="18"/>
        <v>0</v>
      </c>
      <c r="Q46" s="117">
        <f t="shared" si="19"/>
        <v>0</v>
      </c>
    </row>
    <row r="47" spans="1:17" ht="15">
      <c r="A47" s="109" t="s">
        <v>17</v>
      </c>
      <c r="B47" s="109" t="s">
        <v>59</v>
      </c>
      <c r="C47" s="132"/>
      <c r="D47" s="132"/>
      <c r="E47" s="132"/>
      <c r="F47" s="132"/>
      <c r="G47" s="132"/>
      <c r="H47" s="119">
        <f>SUM(H48:H49)</f>
        <v>5.0456592159055216</v>
      </c>
      <c r="I47" s="126">
        <f t="shared" ref="I47:L47" si="21">SUM(I48:I49)</f>
        <v>0.74241389637929767</v>
      </c>
      <c r="J47" s="126">
        <f t="shared" si="21"/>
        <v>0.96520531414794164</v>
      </c>
      <c r="K47" s="126">
        <f t="shared" si="21"/>
        <v>2.9765657268998518</v>
      </c>
      <c r="L47" s="126">
        <f t="shared" si="21"/>
        <v>3.7053039508495864</v>
      </c>
      <c r="M47" s="119">
        <f t="shared" si="20"/>
        <v>0.18668939098850448</v>
      </c>
      <c r="N47" s="126">
        <f t="shared" si="16"/>
        <v>2.7469314166034042E-2</v>
      </c>
      <c r="O47" s="126">
        <f t="shared" si="17"/>
        <v>3.5712596623473876E-2</v>
      </c>
      <c r="P47" s="126">
        <f t="shared" si="18"/>
        <v>0.11013293189529463</v>
      </c>
      <c r="Q47" s="121">
        <f t="shared" si="19"/>
        <v>0.13709624618143484</v>
      </c>
    </row>
    <row r="48" spans="1:17" ht="15">
      <c r="A48" s="113" t="s">
        <v>188</v>
      </c>
      <c r="B48" s="114">
        <v>1</v>
      </c>
      <c r="C48" s="132"/>
      <c r="D48" s="132"/>
      <c r="E48" s="132"/>
      <c r="F48" s="132"/>
      <c r="G48" s="132"/>
      <c r="H48" s="115">
        <f>IFERROR(VLOOKUP("Cs-137",$A$4:$Q$32,3)*VLOOKUP("Cs-137",Doses!$A$1:$O$40,9)*$B48,0)</f>
        <v>8.5475743879832559E-9</v>
      </c>
      <c r="I48" s="127">
        <f>IFERROR(VLOOKUP("Cs-137",$A$4:$Q$32,4)*VLOOKUP("Cs-137",Doses!$A$1:$O$40,12)*$B48,0)</f>
        <v>5.1698853455399386E-3</v>
      </c>
      <c r="J48" s="127">
        <f>IFERROR(VLOOKUP("Cs-137",$A$4:$Q$32,5)*VLOOKUP("Cs-137",Doses!$A$1:$O$40,13)*$B48,0)</f>
        <v>7.1583716748918993E-4</v>
      </c>
      <c r="K48" s="127">
        <f>IFERROR(VLOOKUP("Cs-137",$A$4:$Q$32,6)*VLOOKUP("Cs-137",Doses!$A$1:$O$40,14)*$B48,0)</f>
        <v>1.1927271579531941E-3</v>
      </c>
      <c r="L48" s="127">
        <f>IFERROR(VLOOKUP("Cs-137",$A$4:$Q$32,7)*VLOOKUP("Cs-137",Doses!$A$1:$O$40,15)*$B48,0)</f>
        <v>1.9793451358308999E-3</v>
      </c>
      <c r="M48" s="115">
        <f t="shared" si="20"/>
        <v>3.162602523553808E-10</v>
      </c>
      <c r="N48" s="127">
        <f t="shared" si="16"/>
        <v>1.9128575778497791E-4</v>
      </c>
      <c r="O48" s="127">
        <f t="shared" si="17"/>
        <v>2.6485975197100056E-5</v>
      </c>
      <c r="P48" s="127">
        <f t="shared" si="18"/>
        <v>4.4130904844268231E-5</v>
      </c>
      <c r="Q48" s="117">
        <f t="shared" si="19"/>
        <v>7.3235770025743377E-5</v>
      </c>
    </row>
    <row r="49" spans="1:17" ht="15">
      <c r="A49" s="113" t="s">
        <v>189</v>
      </c>
      <c r="B49" s="114">
        <v>0.94399</v>
      </c>
      <c r="C49" s="132"/>
      <c r="D49" s="132"/>
      <c r="E49" s="132"/>
      <c r="F49" s="132"/>
      <c r="G49" s="132"/>
      <c r="H49" s="115">
        <f>IFERROR(VLOOKUP("Ba-137m",$A$4:$Q$32,3)*VLOOKUP("Ba-137m",Doses!$A$1:$O$40,9)*$B49,0)</f>
        <v>5.0456592073579474</v>
      </c>
      <c r="I49" s="127">
        <f>IFERROR(VLOOKUP("Ba-137m",$A$4:$Q$32,4)*VLOOKUP("Ba-137m",Doses!$A$1:$O$40,12)*$B49,0)</f>
        <v>0.7372440110337577</v>
      </c>
      <c r="J49" s="127">
        <f>IFERROR(VLOOKUP("Ba-137m",$A$4:$Q$32,5)*VLOOKUP("Ba-137m",Doses!$A$1:$O$40,13)*$B49,0)</f>
        <v>0.9644894769804524</v>
      </c>
      <c r="K49" s="127">
        <f>IFERROR(VLOOKUP("Ba-137m",$A$4:$Q$32,6)*VLOOKUP("Ba-137m",Doses!$A$1:$O$40,14)*$B49,0)</f>
        <v>2.9753729997418987</v>
      </c>
      <c r="L49" s="127">
        <f>IFERROR(VLOOKUP("Ba-137m",$A$4:$Q$32,7)*VLOOKUP("Ba-137m",Doses!$A$1:$O$40,15)*$B49,0)</f>
        <v>3.7033246057137554</v>
      </c>
      <c r="M49" s="115">
        <f t="shared" si="20"/>
        <v>0.18668939067224424</v>
      </c>
      <c r="N49" s="127">
        <f t="shared" si="16"/>
        <v>2.7278028408249062E-2</v>
      </c>
      <c r="O49" s="127">
        <f t="shared" si="17"/>
        <v>3.5686110648276773E-2</v>
      </c>
      <c r="P49" s="127">
        <f t="shared" si="18"/>
        <v>0.11008880099045036</v>
      </c>
      <c r="Q49" s="117">
        <f t="shared" si="19"/>
        <v>0.1370230104114091</v>
      </c>
    </row>
    <row r="50" spans="1:17" ht="15">
      <c r="A50" s="109" t="s">
        <v>27</v>
      </c>
      <c r="B50" s="109" t="s">
        <v>59</v>
      </c>
      <c r="C50" s="132"/>
      <c r="D50" s="132"/>
      <c r="E50" s="132"/>
      <c r="F50" s="132"/>
      <c r="G50" s="132"/>
      <c r="H50" s="119">
        <f>SUM(H51:H64)</f>
        <v>22.946426848509532</v>
      </c>
      <c r="I50" s="126">
        <f>SUM(I51:I64)</f>
        <v>3.14186099381965</v>
      </c>
      <c r="J50" s="126">
        <f>SUM(J51:J64)</f>
        <v>3.9415998146461257</v>
      </c>
      <c r="K50" s="126">
        <f>SUM(K51:K64)</f>
        <v>11.718550049298614</v>
      </c>
      <c r="L50" s="126">
        <f>SUM(L51:L64)</f>
        <v>15.77341666631818</v>
      </c>
      <c r="M50" s="119">
        <f t="shared" si="20"/>
        <v>0.8490177933948535</v>
      </c>
      <c r="N50" s="126">
        <f t="shared" si="16"/>
        <v>0.11624885677132717</v>
      </c>
      <c r="O50" s="126">
        <f t="shared" si="17"/>
        <v>0.1458391931419068</v>
      </c>
      <c r="P50" s="126">
        <f t="shared" si="18"/>
        <v>0.43358635182404914</v>
      </c>
      <c r="Q50" s="121">
        <f t="shared" si="19"/>
        <v>0.58361641665377328</v>
      </c>
    </row>
    <row r="51" spans="1:17" ht="15">
      <c r="A51" s="113" t="s">
        <v>190</v>
      </c>
      <c r="B51" s="114">
        <v>1</v>
      </c>
      <c r="C51" s="132"/>
      <c r="D51" s="132"/>
      <c r="E51" s="132"/>
      <c r="F51" s="132"/>
      <c r="G51" s="132"/>
      <c r="H51" s="115">
        <f>IFERROR(VLOOKUP("Ra-226",$A$4:$Q$32,3)*VLOOKUP("Ra-226",Doses!$A$1:$O$40,9)*$B51,0)</f>
        <v>2.0043940214818637E-3</v>
      </c>
      <c r="I51" s="127">
        <f>IFERROR(VLOOKUP("Ra-226",$A$4:$Q$32,4)*VLOOKUP("Ra-226",Doses!$A$1:$O$40,12)*$B51,0)</f>
        <v>9.7958324997323813E-3</v>
      </c>
      <c r="J51" s="127">
        <f>IFERROR(VLOOKUP("Ra-226",$A$4:$Q$32,5)*VLOOKUP("Ra-226",Doses!$A$1:$O$40,13)*$B51,0)</f>
        <v>1.2907693480679137E-2</v>
      </c>
      <c r="K51" s="127">
        <f>IFERROR(VLOOKUP("Ra-226",$A$4:$Q$32,6)*VLOOKUP("Ra-226",Doses!$A$1:$O$40,14)*$B51,0)</f>
        <v>3.4989786915015753E-2</v>
      </c>
      <c r="L51" s="127">
        <f>IFERROR(VLOOKUP("Ra-226",$A$4:$Q$32,7)*VLOOKUP("Ra-226",Doses!$A$1:$O$40,15)*$B51,0)</f>
        <v>5.2568909302988499E-2</v>
      </c>
      <c r="M51" s="115">
        <f t="shared" si="20"/>
        <v>7.4162578794829026E-5</v>
      </c>
      <c r="N51" s="127">
        <f t="shared" si="16"/>
        <v>3.6244580249009849E-4</v>
      </c>
      <c r="O51" s="127">
        <f t="shared" si="17"/>
        <v>4.7758465878512853E-4</v>
      </c>
      <c r="P51" s="127">
        <f t="shared" si="18"/>
        <v>1.2946221158555841E-3</v>
      </c>
      <c r="Q51" s="117">
        <f t="shared" si="19"/>
        <v>1.9450496442105765E-3</v>
      </c>
    </row>
    <row r="52" spans="1:17" ht="15">
      <c r="A52" s="113" t="s">
        <v>191</v>
      </c>
      <c r="B52" s="114">
        <v>1</v>
      </c>
      <c r="C52" s="132"/>
      <c r="D52" s="132"/>
      <c r="E52" s="132"/>
      <c r="F52" s="132"/>
      <c r="G52" s="132"/>
      <c r="H52" s="115">
        <f>IFERROR(VLOOKUP("Rn-222",$A$4:$Q$32,3)*VLOOKUP("Rn-222",Doses!$A$1:$O$40,9)*$B52,0)</f>
        <v>2.8177814490929135E-6</v>
      </c>
      <c r="I52" s="127">
        <f>IFERROR(VLOOKUP("Rn-222",$A$4:$Q$32,4)*VLOOKUP("Rn-222",Doses!$A$1:$O$40,12)*$B52,0)</f>
        <v>4.0719050750258575E-7</v>
      </c>
      <c r="J52" s="127">
        <f>IFERROR(VLOOKUP("Rn-222",$A$4:$Q$32,5)*VLOOKUP("Rn-222",Doses!$A$1:$O$40,13)*$B52,0)</f>
        <v>5.3979039670697912E-7</v>
      </c>
      <c r="K52" s="127">
        <f>IFERROR(VLOOKUP("Rn-222",$A$4:$Q$32,6)*VLOOKUP("Rn-222",Doses!$A$1:$O$40,14)*$B52,0)</f>
        <v>1.7902934028574665E-6</v>
      </c>
      <c r="L52" s="127">
        <f>IFERROR(VLOOKUP("Rn-222",$A$4:$Q$32,7)*VLOOKUP("Rn-222",Doses!$A$1:$O$40,15)*$B52,0)</f>
        <v>2.5797160727336173E-6</v>
      </c>
      <c r="M52" s="115">
        <f t="shared" si="20"/>
        <v>1.0425791361643791E-7</v>
      </c>
      <c r="N52" s="127">
        <f t="shared" si="16"/>
        <v>1.5066048777595687E-8</v>
      </c>
      <c r="O52" s="127">
        <f t="shared" si="17"/>
        <v>1.9972244678158248E-8</v>
      </c>
      <c r="P52" s="127">
        <f t="shared" si="18"/>
        <v>6.6240855905726329E-8</v>
      </c>
      <c r="Q52" s="117">
        <f t="shared" si="19"/>
        <v>9.5449494691143933E-8</v>
      </c>
    </row>
    <row r="53" spans="1:17" ht="15">
      <c r="A53" s="113" t="s">
        <v>192</v>
      </c>
      <c r="B53" s="114">
        <v>1</v>
      </c>
      <c r="C53" s="132"/>
      <c r="D53" s="132"/>
      <c r="E53" s="132"/>
      <c r="F53" s="132"/>
      <c r="G53" s="132"/>
      <c r="H53" s="115">
        <f>IFERROR(VLOOKUP("Po-218",$A$4:$Q$32,3)*VLOOKUP("Po-218",Doses!$A$1:$O$40,9)*$B53,0)</f>
        <v>0</v>
      </c>
      <c r="I53" s="127">
        <f>IFERROR(VLOOKUP("Po-218",$A$4:$Q$32,4)*VLOOKUP("Po-218",Doses!$A$1:$O$40,12)*$B53,0)</f>
        <v>0</v>
      </c>
      <c r="J53" s="127">
        <f>IFERROR(VLOOKUP("Po-218",$A$4:$Q$32,5)*VLOOKUP("Po-218",Doses!$A$1:$O$40,13)*$B53,0)</f>
        <v>0</v>
      </c>
      <c r="K53" s="127">
        <f>IFERROR(VLOOKUP("Po-218",$A$4:$Q$32,6)*VLOOKUP("Po-218",Doses!$A$1:$O$40,14)*$B53,0)</f>
        <v>0</v>
      </c>
      <c r="L53" s="127">
        <f>IFERROR(VLOOKUP("Po-218",$A$4:$Q$32,7)*VLOOKUP("Po-218",Doses!$A$1:$O$40,15)*$B53,0)</f>
        <v>0</v>
      </c>
      <c r="M53" s="115">
        <f t="shared" si="20"/>
        <v>0</v>
      </c>
      <c r="N53" s="127">
        <f t="shared" si="16"/>
        <v>0</v>
      </c>
      <c r="O53" s="127">
        <f t="shared" si="17"/>
        <v>0</v>
      </c>
      <c r="P53" s="127">
        <f t="shared" si="18"/>
        <v>0</v>
      </c>
      <c r="Q53" s="117">
        <f t="shared" si="19"/>
        <v>0</v>
      </c>
    </row>
    <row r="54" spans="1:17" ht="15">
      <c r="A54" s="113" t="s">
        <v>194</v>
      </c>
      <c r="B54" s="114">
        <v>2.0000000000000001E-4</v>
      </c>
      <c r="C54" s="132"/>
      <c r="D54" s="132"/>
      <c r="E54" s="132"/>
      <c r="F54" s="132"/>
      <c r="G54" s="132"/>
      <c r="H54" s="115">
        <f>IFERROR(VLOOKUP("At-218",$A$4:$Q$32,3)*VLOOKUP("At-218",Doses!$A$1:$O$40,9)*$B54,0)</f>
        <v>0</v>
      </c>
      <c r="I54" s="127">
        <f>IFERROR(VLOOKUP("At-218",$A$4:$Q$32,4)*VLOOKUP("At-218",Doses!$A$1:$O$40,12)*$B54,0)</f>
        <v>0</v>
      </c>
      <c r="J54" s="127">
        <f>IFERROR(VLOOKUP("At-218",$A$4:$Q$32,5)*VLOOKUP("At-218",Doses!$A$1:$O$40,13)*$B54,0)</f>
        <v>0</v>
      </c>
      <c r="K54" s="127">
        <f>IFERROR(VLOOKUP("At-218",$A$4:$Q$32,6)*VLOOKUP("At-218",Doses!$A$1:$O$40,14)*$B54,0)</f>
        <v>0</v>
      </c>
      <c r="L54" s="127">
        <f>IFERROR(VLOOKUP("At-218",$A$4:$Q$32,7)*VLOOKUP("At-218",Doses!$A$1:$O$40,15)*$B54,0)</f>
        <v>0</v>
      </c>
      <c r="M54" s="115">
        <f t="shared" ref="M54:Q55" si="22">IFERROR(H54/_1_bq,".")</f>
        <v>0</v>
      </c>
      <c r="N54" s="127">
        <f t="shared" si="22"/>
        <v>0</v>
      </c>
      <c r="O54" s="127">
        <f t="shared" si="22"/>
        <v>0</v>
      </c>
      <c r="P54" s="127">
        <f t="shared" si="22"/>
        <v>0</v>
      </c>
      <c r="Q54" s="117">
        <f t="shared" si="22"/>
        <v>0</v>
      </c>
    </row>
    <row r="55" spans="1:17" ht="15">
      <c r="A55" s="113" t="s">
        <v>196</v>
      </c>
      <c r="B55" s="114">
        <v>1.9999999999999999E-7</v>
      </c>
      <c r="C55" s="132"/>
      <c r="D55" s="132"/>
      <c r="E55" s="132"/>
      <c r="F55" s="132"/>
      <c r="G55" s="132"/>
      <c r="H55" s="115">
        <f>IFERROR(VLOOKUP("Rn-218",$A$4:$Q$32,3)*VLOOKUP("Rn-218",Doses!$A$1:$O$40,9)*$B55,0)</f>
        <v>1.8112832466550607E-12</v>
      </c>
      <c r="I55" s="127">
        <f>IFERROR(VLOOKUP("Rn-218",$A$4:$Q$32,4)*VLOOKUP("Rn-218",Doses!$A$1:$O$40,12)*$B55,0)</f>
        <v>2.5108130876980906E-13</v>
      </c>
      <c r="J55" s="127">
        <f>IFERROR(VLOOKUP("Rn-218",$A$4:$Q$32,5)*VLOOKUP("Rn-218",Doses!$A$1:$O$40,13)*$B55,0)</f>
        <v>3.4598909701767059E-13</v>
      </c>
      <c r="K55" s="127">
        <f>IFERROR(VLOOKUP("Rn-218",$A$4:$Q$32,6)*VLOOKUP("Rn-218",Doses!$A$1:$O$40,14)*$B55,0)</f>
        <v>1.0835275832590542E-12</v>
      </c>
      <c r="L55" s="127">
        <f>IFERROR(VLOOKUP("Rn-218",$A$4:$Q$32,7)*VLOOKUP("Rn-218",Doses!$A$1:$O$40,15)*$B55,0)</f>
        <v>1.3322928024776565E-12</v>
      </c>
      <c r="M55" s="115">
        <f t="shared" si="22"/>
        <v>6.7017480126237309E-14</v>
      </c>
      <c r="N55" s="127">
        <f t="shared" si="22"/>
        <v>9.2900084244829442E-15</v>
      </c>
      <c r="O55" s="127">
        <f t="shared" si="22"/>
        <v>1.2801596589653825E-14</v>
      </c>
      <c r="P55" s="127">
        <f t="shared" si="22"/>
        <v>4.0090520580585045E-14</v>
      </c>
      <c r="Q55" s="117">
        <f t="shared" si="22"/>
        <v>4.9294833691673341E-14</v>
      </c>
    </row>
    <row r="56" spans="1:17" ht="15">
      <c r="A56" s="113" t="s">
        <v>193</v>
      </c>
      <c r="B56" s="114">
        <v>0.99980000000000002</v>
      </c>
      <c r="C56" s="132"/>
      <c r="D56" s="132"/>
      <c r="E56" s="132"/>
      <c r="F56" s="132"/>
      <c r="G56" s="132"/>
      <c r="H56" s="115">
        <f>IFERROR(VLOOKUP("Pb-214",$A$4:$Q$32,3)*VLOOKUP("Pb-214",Doses!$A$1:$O$40,9)*$B56,0)</f>
        <v>1.8518956414681254</v>
      </c>
      <c r="I56" s="127">
        <f>IFERROR(VLOOKUP("Pb-214",$A$4:$Q$32,4)*VLOOKUP("Pb-214",Doses!$A$1:$O$40,12)*$B56,0)</f>
        <v>0.50040762225833857</v>
      </c>
      <c r="J56" s="127">
        <f>IFERROR(VLOOKUP("Pb-214",$A$4:$Q$32,5)*VLOOKUP("Pb-214",Doses!$A$1:$O$40,13)*$B56,0)</f>
        <v>0.51227446836918411</v>
      </c>
      <c r="K56" s="127">
        <f>IFERROR(VLOOKUP("Pb-214",$A$4:$Q$32,6)*VLOOKUP("Pb-214",Doses!$A$1:$O$40,14)*$B56,0)</f>
        <v>1.4263379822545177</v>
      </c>
      <c r="L56" s="127">
        <f>IFERROR(VLOOKUP("Pb-214",$A$4:$Q$32,7)*VLOOKUP("Pb-214",Doses!$A$1:$O$40,15)*$B56,0)</f>
        <v>1.8150384756853917</v>
      </c>
      <c r="M56" s="115">
        <f t="shared" si="20"/>
        <v>6.852013873432071E-2</v>
      </c>
      <c r="N56" s="127">
        <f t="shared" si="16"/>
        <v>1.8515082023558546E-2</v>
      </c>
      <c r="O56" s="127">
        <f t="shared" si="17"/>
        <v>1.8954155329659831E-2</v>
      </c>
      <c r="P56" s="127">
        <f t="shared" si="18"/>
        <v>5.2774505343417211E-2</v>
      </c>
      <c r="Q56" s="117">
        <f t="shared" si="19"/>
        <v>6.715642360035956E-2</v>
      </c>
    </row>
    <row r="57" spans="1:17" ht="15">
      <c r="A57" s="113" t="s">
        <v>195</v>
      </c>
      <c r="B57" s="114">
        <v>0.99999979999999999</v>
      </c>
      <c r="C57" s="132"/>
      <c r="D57" s="132"/>
      <c r="E57" s="132"/>
      <c r="F57" s="132"/>
      <c r="G57" s="132"/>
      <c r="H57" s="115">
        <f>IFERROR(VLOOKUP("Bi-214",$A$4:$Q$32,3)*VLOOKUP("Bi-214",Doses!$A$1:$O$40,9)*$B57,0)</f>
        <v>21.072486781191301</v>
      </c>
      <c r="I57" s="127">
        <f>IFERROR(VLOOKUP("Bi-214",$A$4:$Q$32,4)*VLOOKUP("Bi-214",Doses!$A$1:$O$40,12)*$B57,0)</f>
        <v>2.6259998692951472</v>
      </c>
      <c r="J57" s="127">
        <f>IFERROR(VLOOKUP("Bi-214",$A$4:$Q$32,5)*VLOOKUP("Bi-214",Doses!$A$1:$O$40,13)*$B57,0)</f>
        <v>3.4122249221452998</v>
      </c>
      <c r="K57" s="127">
        <f>IFERROR(VLOOKUP("Bi-214",$A$4:$Q$32,6)*VLOOKUP("Bi-214",Doses!$A$1:$O$40,14)*$B57,0)</f>
        <v>10.245933870290536</v>
      </c>
      <c r="L57" s="127">
        <f>IFERROR(VLOOKUP("Bi-214",$A$4:$Q$32,7)*VLOOKUP("Bi-214",Doses!$A$1:$O$40,15)*$B57,0)</f>
        <v>13.890736250162513</v>
      </c>
      <c r="M57" s="115">
        <f t="shared" si="20"/>
        <v>0.77968201090407896</v>
      </c>
      <c r="N57" s="127">
        <f t="shared" si="16"/>
        <v>9.7161995163920545E-2</v>
      </c>
      <c r="O57" s="127">
        <f t="shared" si="17"/>
        <v>0.12625232211937623</v>
      </c>
      <c r="P57" s="127">
        <f t="shared" si="18"/>
        <v>0.37909955320075023</v>
      </c>
      <c r="Q57" s="117">
        <f t="shared" si="19"/>
        <v>0.5139572412560135</v>
      </c>
    </row>
    <row r="58" spans="1:17" ht="15">
      <c r="A58" s="113" t="s">
        <v>197</v>
      </c>
      <c r="B58" s="114">
        <v>0.99979000004200003</v>
      </c>
      <c r="C58" s="132"/>
      <c r="D58" s="132"/>
      <c r="E58" s="132"/>
      <c r="F58" s="132"/>
      <c r="G58" s="132"/>
      <c r="H58" s="115">
        <f>IFERROR(VLOOKUP("Po-214",$A$4:$Q$32,3)*VLOOKUP("Po-214",Doses!$A$1:$O$40,9)*$B58,0)</f>
        <v>9.3176929781811485E-8</v>
      </c>
      <c r="I58" s="127">
        <f>IFERROR(VLOOKUP("Po-214",$A$4:$Q$32,4)*VLOOKUP("Po-214",Doses!$A$1:$O$40,12)*$B58,0)</f>
        <v>1.10846598935043E-8</v>
      </c>
      <c r="J58" s="127">
        <f>IFERROR(VLOOKUP("Po-214",$A$4:$Q$32,5)*VLOOKUP("Po-214",Doses!$A$1:$O$40,13)*$B58,0)</f>
        <v>1.5638514784426971E-8</v>
      </c>
      <c r="K58" s="127">
        <f>IFERROR(VLOOKUP("Po-214",$A$4:$Q$32,6)*VLOOKUP("Po-214",Doses!$A$1:$O$40,14)*$B58,0)</f>
        <v>4.5873063250231903E-8</v>
      </c>
      <c r="L58" s="127">
        <f>IFERROR(VLOOKUP("Po-214",$A$4:$Q$32,7)*VLOOKUP("Po-214",Doses!$A$1:$O$40,15)*$B58,0)</f>
        <v>6.2865997395721753E-8</v>
      </c>
      <c r="M58" s="115">
        <f t="shared" si="20"/>
        <v>3.4475464019270283E-9</v>
      </c>
      <c r="N58" s="127">
        <f t="shared" si="16"/>
        <v>4.1013241605965953E-10</v>
      </c>
      <c r="O58" s="127">
        <f t="shared" si="17"/>
        <v>5.7862504702379854E-10</v>
      </c>
      <c r="P58" s="127">
        <f t="shared" si="18"/>
        <v>1.6973033402585822E-9</v>
      </c>
      <c r="Q58" s="117">
        <f t="shared" si="19"/>
        <v>2.3260419036417071E-9</v>
      </c>
    </row>
    <row r="59" spans="1:17" ht="15">
      <c r="A59" s="113" t="s">
        <v>198</v>
      </c>
      <c r="B59" s="114">
        <v>2.0999995799999999E-4</v>
      </c>
      <c r="C59" s="132"/>
      <c r="D59" s="132"/>
      <c r="E59" s="132"/>
      <c r="F59" s="132"/>
      <c r="G59" s="132"/>
      <c r="H59" s="115">
        <f>IFERROR(VLOOKUP("Tl-210",$A$4:$Q$32,3)*VLOOKUP("Tl-210",Doses!$A$1:$O$40,9)*$B59,0)</f>
        <v>1.9547168308115318E-2</v>
      </c>
      <c r="I59" s="127">
        <f>IFERROR(VLOOKUP("Tl-210",$A$4:$Q$32,4)*VLOOKUP("Tl-210",Doses!$A$1:$O$40,12)*$B59,0)</f>
        <v>2.9614667099466122E-3</v>
      </c>
      <c r="J59" s="127">
        <f>IFERROR(VLOOKUP("Tl-210",$A$4:$Q$32,5)*VLOOKUP("Tl-210",Doses!$A$1:$O$40,13)*$B59,0)</f>
        <v>3.5015886958425862E-3</v>
      </c>
      <c r="K59" s="127">
        <f>IFERROR(VLOOKUP("Tl-210",$A$4:$Q$32,6)*VLOOKUP("Tl-210",Doses!$A$1:$O$40,14)*$B59,0)</f>
        <v>1.0231341010295629E-2</v>
      </c>
      <c r="L59" s="127">
        <f>IFERROR(VLOOKUP("Tl-210",$A$4:$Q$32,7)*VLOOKUP("Tl-210",Doses!$A$1:$O$40,15)*$B59,0)</f>
        <v>1.4060725827999485E-2</v>
      </c>
      <c r="M59" s="115">
        <f t="shared" si="20"/>
        <v>7.2324522740026753E-4</v>
      </c>
      <c r="N59" s="127">
        <f t="shared" si="16"/>
        <v>1.0957426826802476E-4</v>
      </c>
      <c r="O59" s="127">
        <f t="shared" si="17"/>
        <v>1.2955878174617582E-4</v>
      </c>
      <c r="P59" s="127">
        <f t="shared" si="18"/>
        <v>3.7855961738093863E-4</v>
      </c>
      <c r="Q59" s="117">
        <f t="shared" si="19"/>
        <v>5.2024685563598148E-4</v>
      </c>
    </row>
    <row r="60" spans="1:17" ht="15">
      <c r="A60" s="113" t="s">
        <v>199</v>
      </c>
      <c r="B60" s="114">
        <v>1</v>
      </c>
      <c r="C60" s="132"/>
      <c r="D60" s="132"/>
      <c r="E60" s="132"/>
      <c r="F60" s="132"/>
      <c r="G60" s="132"/>
      <c r="H60" s="115">
        <f>IFERROR(VLOOKUP("Pb-210",$A$4:$Q$32,3)*VLOOKUP("Pb-210",Doses!$A$1:$O$40,9)*$B60,0)</f>
        <v>4.8993265510209887E-4</v>
      </c>
      <c r="I60" s="127">
        <f>IFERROR(VLOOKUP("Pb-210",$A$4:$Q$32,4)*VLOOKUP("Pb-210",Doses!$A$1:$O$40,12)*$B60,0)</f>
        <v>2.6957003262371203E-3</v>
      </c>
      <c r="J60" s="127">
        <f>IFERROR(VLOOKUP("Pb-210",$A$4:$Q$32,5)*VLOOKUP("Pb-210",Doses!$A$1:$O$40,13)*$B60,0)</f>
        <v>6.9057684050274329E-4</v>
      </c>
      <c r="K60" s="127">
        <f>IFERROR(VLOOKUP("Pb-210",$A$4:$Q$32,6)*VLOOKUP("Pb-210",Doses!$A$1:$O$40,14)*$B60,0)</f>
        <v>1.055215463487798E-3</v>
      </c>
      <c r="L60" s="127">
        <f>IFERROR(VLOOKUP("Pb-210",$A$4:$Q$32,7)*VLOOKUP("Pb-210",Doses!$A$1:$O$40,15)*$B60,0)</f>
        <v>1.0096437977307564E-3</v>
      </c>
      <c r="M60" s="115">
        <f t="shared" si="20"/>
        <v>1.8127508238777677E-5</v>
      </c>
      <c r="N60" s="127">
        <f t="shared" si="16"/>
        <v>9.9740912070773552E-5</v>
      </c>
      <c r="O60" s="127">
        <f t="shared" si="17"/>
        <v>2.5551343098601528E-5</v>
      </c>
      <c r="P60" s="127">
        <f t="shared" si="18"/>
        <v>3.9042972149048568E-5</v>
      </c>
      <c r="Q60" s="117">
        <f t="shared" si="19"/>
        <v>3.7356820516038027E-5</v>
      </c>
    </row>
    <row r="61" spans="1:17" ht="15">
      <c r="A61" s="113" t="s">
        <v>200</v>
      </c>
      <c r="B61" s="114">
        <v>1</v>
      </c>
      <c r="C61" s="132"/>
      <c r="D61" s="132"/>
      <c r="E61" s="132"/>
      <c r="F61" s="132"/>
      <c r="G61" s="132"/>
      <c r="H61" s="115">
        <f>IFERROR(VLOOKUP("Bi-210",$A$4:$Q$32,3)*VLOOKUP("Bi-210",Doses!$A$1:$O$40,9)*$B61,0)</f>
        <v>1.0731711487979084E-8</v>
      </c>
      <c r="I61" s="127">
        <f>IFERROR(VLOOKUP("Bi-210",$A$4:$Q$32,4)*VLOOKUP("Bi-210",Doses!$A$1:$O$40,12)*$B61,0)</f>
        <v>8.1660972287616294E-8</v>
      </c>
      <c r="J61" s="127">
        <f>IFERROR(VLOOKUP("Bi-210",$A$4:$Q$32,5)*VLOOKUP("Bi-210",Doses!$A$1:$O$40,13)*$B61,0)</f>
        <v>7.2671996576855971E-9</v>
      </c>
      <c r="K61" s="127">
        <f>IFERROR(VLOOKUP("Bi-210",$A$4:$Q$32,6)*VLOOKUP("Bi-210",Doses!$A$1:$O$40,14)*$B61,0)</f>
        <v>1.0516623208962207E-8</v>
      </c>
      <c r="L61" s="127">
        <f>IFERROR(VLOOKUP("Bi-210",$A$4:$Q$32,7)*VLOOKUP("Bi-210",Doses!$A$1:$O$40,15)*$B61,0)</f>
        <v>1.052413396184737E-8</v>
      </c>
      <c r="M61" s="115">
        <f t="shared" si="20"/>
        <v>3.9707332505522654E-10</v>
      </c>
      <c r="N61" s="127">
        <f t="shared" si="16"/>
        <v>3.021455974641806E-9</v>
      </c>
      <c r="O61" s="127">
        <f t="shared" si="17"/>
        <v>2.6888638733436734E-10</v>
      </c>
      <c r="P61" s="127">
        <f t="shared" si="18"/>
        <v>3.8911505873160204E-10</v>
      </c>
      <c r="Q61" s="117">
        <f t="shared" si="19"/>
        <v>3.8939295658835306E-10</v>
      </c>
    </row>
    <row r="62" spans="1:17" ht="15">
      <c r="A62" s="113" t="s">
        <v>202</v>
      </c>
      <c r="B62" s="114">
        <v>1</v>
      </c>
      <c r="C62" s="132"/>
      <c r="D62" s="132"/>
      <c r="E62" s="132"/>
      <c r="F62" s="132"/>
      <c r="G62" s="132"/>
      <c r="H62" s="115">
        <f>IFERROR(VLOOKUP("Po-210",$A$4:$Q$32,3)*VLOOKUP("Po-210",Doses!$A$1:$O$40,9)*$B62,0)</f>
        <v>1.2732911012436964E-9</v>
      </c>
      <c r="I62" s="127">
        <f>IFERROR(VLOOKUP("Po-210",$A$4:$Q$32,4)*VLOOKUP("Po-210",Doses!$A$1:$O$40,12)*$B62,0)</f>
        <v>1.5096197041580229E-10</v>
      </c>
      <c r="J62" s="127">
        <f>IFERROR(VLOOKUP("Po-210",$A$4:$Q$32,5)*VLOOKUP("Po-210",Doses!$A$1:$O$40,13)*$B62,0)</f>
        <v>2.1304459145654457E-10</v>
      </c>
      <c r="K62" s="127">
        <f>IFERROR(VLOOKUP("Po-210",$A$4:$Q$32,6)*VLOOKUP("Po-210",Doses!$A$1:$O$40,14)*$B62,0)</f>
        <v>6.256549639220176E-10</v>
      </c>
      <c r="L62" s="127">
        <f>IFERROR(VLOOKUP("Po-210",$A$4:$Q$32,7)*VLOOKUP("Po-210",Doses!$A$1:$O$40,15)*$B62,0)</f>
        <v>8.5309264435445232E-10</v>
      </c>
      <c r="M62" s="115">
        <f t="shared" ref="M62" si="23">IFERROR(H62/_1_bq,".")</f>
        <v>4.7111770746016817E-11</v>
      </c>
      <c r="N62" s="127">
        <f t="shared" ref="N62" si="24">IFERROR(I62/_1_bq,".")</f>
        <v>5.5855929053846904E-12</v>
      </c>
      <c r="O62" s="127">
        <f t="shared" ref="O62" si="25">IFERROR(J62/_1_bq,".")</f>
        <v>7.8826498838921577E-12</v>
      </c>
      <c r="P62" s="127">
        <f t="shared" ref="P62" si="26">IFERROR(K62/_1_bq,".")</f>
        <v>2.3149233665114675E-11</v>
      </c>
      <c r="Q62" s="117">
        <f t="shared" ref="Q62" si="27">IFERROR(L62/_1_bq,".")</f>
        <v>3.1564427841114769E-11</v>
      </c>
    </row>
    <row r="63" spans="1:17" ht="15">
      <c r="A63" s="113" t="s">
        <v>201</v>
      </c>
      <c r="B63" s="114">
        <v>1.9000000000000001E-8</v>
      </c>
      <c r="C63" s="132"/>
      <c r="D63" s="132"/>
      <c r="E63" s="132"/>
      <c r="F63" s="132"/>
      <c r="G63" s="132"/>
      <c r="H63" s="115">
        <f>IFERROR(VLOOKUP("Hg-206",$A$4:$Q$32,3)*VLOOKUP("Hg-206",Doses!$A$1:$O$40,9)*$B63,0)</f>
        <v>7.8821320391684824E-9</v>
      </c>
      <c r="I63" s="127">
        <f>IFERROR(VLOOKUP("Hg-206",$A$4:$Q$32,4)*VLOOKUP("Hg-206",Doses!$A$1:$O$40,12)*$B63,0)</f>
        <v>2.4148347701982483E-9</v>
      </c>
      <c r="J63" s="127">
        <f>IFERROR(VLOOKUP("Hg-206",$A$4:$Q$32,5)*VLOOKUP("Hg-206",Doses!$A$1:$O$40,13)*$B63,0)</f>
        <v>2.1855588813540219E-9</v>
      </c>
      <c r="K63" s="127">
        <f>IFERROR(VLOOKUP("Hg-206",$A$4:$Q$32,6)*VLOOKUP("Hg-206",Doses!$A$1:$O$40,14)*$B63,0)</f>
        <v>6.0333310703955953E-9</v>
      </c>
      <c r="L63" s="127">
        <f>IFERROR(VLOOKUP("Hg-206",$A$4:$Q$32,7)*VLOOKUP("Hg-206",Doses!$A$1:$O$40,15)*$B63,0)</f>
        <v>7.5542552827557505E-9</v>
      </c>
      <c r="M63" s="115">
        <f t="shared" si="20"/>
        <v>2.9163888544923412E-10</v>
      </c>
      <c r="N63" s="127">
        <f t="shared" si="16"/>
        <v>8.9348886497335271E-11</v>
      </c>
      <c r="O63" s="127">
        <f t="shared" si="17"/>
        <v>8.0865678610098887E-11</v>
      </c>
      <c r="P63" s="127">
        <f t="shared" si="18"/>
        <v>2.2323324960463725E-10</v>
      </c>
      <c r="Q63" s="117">
        <f t="shared" si="19"/>
        <v>2.7950744546196304E-10</v>
      </c>
    </row>
    <row r="64" spans="1:17" ht="15.75" thickBot="1">
      <c r="A64" s="113" t="s">
        <v>203</v>
      </c>
      <c r="B64" s="114">
        <v>1.339E-6</v>
      </c>
      <c r="C64" s="132"/>
      <c r="D64" s="132"/>
      <c r="E64" s="132"/>
      <c r="F64" s="132"/>
      <c r="G64" s="132"/>
      <c r="H64" s="122">
        <f>IFERROR(VLOOKUP("Tl-206",$A$4:$Q$32,3)*VLOOKUP("Tl-206",Doses!$A$1:$O$40,9)*$B64,0)</f>
        <v>1.8080284481476237E-11</v>
      </c>
      <c r="I64" s="123">
        <f>IFERROR(VLOOKUP("Tl-206",$A$4:$Q$32,4)*VLOOKUP("Tl-206",Doses!$A$1:$O$40,12)*$B64,0)</f>
        <v>2.2806121447346394E-10</v>
      </c>
      <c r="J64" s="123">
        <f>IFERROR(VLOOKUP("Tl-206",$A$4:$Q$32,5)*VLOOKUP("Tl-206",Doses!$A$1:$O$40,13)*$B64,0)</f>
        <v>1.9556167223333197E-11</v>
      </c>
      <c r="K64" s="123">
        <f>IFERROR(VLOOKUP("Tl-206",$A$4:$Q$32,6)*VLOOKUP("Tl-206",Doses!$A$1:$O$40,14)*$B64,0)</f>
        <v>2.1603198237947408E-11</v>
      </c>
      <c r="L64" s="123">
        <f>IFERROR(VLOOKUP("Tl-206",$A$4:$Q$32,7)*VLOOKUP("Tl-206",Doses!$A$1:$O$40,15)*$B64,0)</f>
        <v>2.667177430378366E-11</v>
      </c>
      <c r="M64" s="122">
        <f t="shared" si="20"/>
        <v>6.6897052581462147E-13</v>
      </c>
      <c r="N64" s="123">
        <f t="shared" si="16"/>
        <v>8.4382649355181747E-12</v>
      </c>
      <c r="O64" s="123">
        <f t="shared" si="17"/>
        <v>7.23578187263329E-13</v>
      </c>
      <c r="P64" s="123">
        <f t="shared" si="18"/>
        <v>7.9931833480405493E-13</v>
      </c>
      <c r="Q64" s="124">
        <f t="shared" si="19"/>
        <v>9.8685564923999632E-13</v>
      </c>
    </row>
    <row r="65" spans="1:17" ht="15">
      <c r="A65" s="109" t="s">
        <v>31</v>
      </c>
      <c r="B65" s="109" t="s">
        <v>59</v>
      </c>
      <c r="C65" s="132"/>
      <c r="D65" s="132"/>
      <c r="E65" s="132"/>
      <c r="F65" s="132"/>
      <c r="G65" s="132"/>
      <c r="H65" s="119">
        <f>SUM(H66:H78)</f>
        <v>22.944422454488052</v>
      </c>
      <c r="I65" s="126">
        <f t="shared" ref="I65:L65" si="28">SUM(I66:I78)</f>
        <v>3.1320651613199177</v>
      </c>
      <c r="J65" s="126">
        <f t="shared" si="28"/>
        <v>3.9286921211654464</v>
      </c>
      <c r="K65" s="126">
        <f t="shared" si="28"/>
        <v>11.683560262383599</v>
      </c>
      <c r="L65" s="126">
        <f t="shared" si="28"/>
        <v>15.720847757015191</v>
      </c>
      <c r="M65" s="119">
        <f t="shared" si="20"/>
        <v>0.84894363081605884</v>
      </c>
      <c r="N65" s="126">
        <f t="shared" si="16"/>
        <v>0.11588641096883708</v>
      </c>
      <c r="O65" s="126">
        <f t="shared" si="17"/>
        <v>0.14536160848312166</v>
      </c>
      <c r="P65" s="126">
        <f t="shared" si="18"/>
        <v>0.43229172970819363</v>
      </c>
      <c r="Q65" s="121">
        <f t="shared" si="19"/>
        <v>0.58167136700956268</v>
      </c>
    </row>
    <row r="66" spans="1:17" ht="15">
      <c r="A66" s="113" t="s">
        <v>191</v>
      </c>
      <c r="B66" s="114">
        <v>1</v>
      </c>
      <c r="C66" s="132"/>
      <c r="D66" s="132"/>
      <c r="E66" s="132"/>
      <c r="F66" s="132"/>
      <c r="G66" s="132"/>
      <c r="H66" s="115">
        <f>IFERROR(VLOOKUP("Rn-222",$A$4:$Q$32,3)*VLOOKUP("Rn-222",Doses!$A$1:$O$40,9)*$B66,0)</f>
        <v>2.8177814490929135E-6</v>
      </c>
      <c r="I66" s="127">
        <f>IFERROR(VLOOKUP("Rn-222",$A$4:$Q$32,4)*VLOOKUP("Rn-222",Doses!$A$1:$O$40,12)*$B66,0)</f>
        <v>4.0719050750258575E-7</v>
      </c>
      <c r="J66" s="127">
        <f>IFERROR(VLOOKUP("Rn-222",$A$4:$Q$32,5)*VLOOKUP("Rn-222",Doses!$A$1:$O$40,13)*$B66,0)</f>
        <v>5.3979039670697912E-7</v>
      </c>
      <c r="K66" s="127">
        <f>IFERROR(VLOOKUP("Rn-222",$A$4:$Q$32,6)*VLOOKUP("Rn-222",Doses!$A$1:$O$40,14)*$B66,0)</f>
        <v>1.7902934028574665E-6</v>
      </c>
      <c r="L66" s="127">
        <f>IFERROR(VLOOKUP("Rn-222",$A$4:$Q$32,7)*VLOOKUP("Rn-222",Doses!$A$1:$O$40,15)*$B66,0)</f>
        <v>2.5797160727336173E-6</v>
      </c>
      <c r="M66" s="115">
        <f t="shared" ref="M66:M67" si="29">IFERROR(H66/_1_bq,".")</f>
        <v>1.0425791361643791E-7</v>
      </c>
      <c r="N66" s="127">
        <f t="shared" ref="N66:N67" si="30">IFERROR(I66/_1_bq,".")</f>
        <v>1.5066048777595687E-8</v>
      </c>
      <c r="O66" s="127">
        <f t="shared" ref="O66:O67" si="31">IFERROR(J66/_1_bq,".")</f>
        <v>1.9972244678158248E-8</v>
      </c>
      <c r="P66" s="127">
        <f t="shared" ref="P66:P67" si="32">IFERROR(K66/_1_bq,".")</f>
        <v>6.6240855905726329E-8</v>
      </c>
      <c r="Q66" s="117">
        <f t="shared" ref="Q66:Q67" si="33">IFERROR(L66/_1_bq,".")</f>
        <v>9.5449494691143933E-8</v>
      </c>
    </row>
    <row r="67" spans="1:17" ht="15">
      <c r="A67" s="113" t="s">
        <v>192</v>
      </c>
      <c r="B67" s="114">
        <v>1</v>
      </c>
      <c r="C67" s="132"/>
      <c r="D67" s="132"/>
      <c r="E67" s="132"/>
      <c r="F67" s="132"/>
      <c r="G67" s="132"/>
      <c r="H67" s="115">
        <f>IFERROR(VLOOKUP("Po-218",$A$4:$Q$32,3)*VLOOKUP("Po-218",Doses!$A$1:$O$40,9)*$B67,0)</f>
        <v>0</v>
      </c>
      <c r="I67" s="127">
        <f>IFERROR(VLOOKUP("Po-218",$A$4:$Q$32,4)*VLOOKUP("Po-218",Doses!$A$1:$O$40,12)*$B67,0)</f>
        <v>0</v>
      </c>
      <c r="J67" s="127">
        <f>IFERROR(VLOOKUP("Po-218",$A$4:$Q$32,5)*VLOOKUP("Po-218",Doses!$A$1:$O$40,13)*$B67,0)</f>
        <v>0</v>
      </c>
      <c r="K67" s="127">
        <f>IFERROR(VLOOKUP("Po-218",$A$4:$Q$32,6)*VLOOKUP("Po-218",Doses!$A$1:$O$40,14)*$B67,0)</f>
        <v>0</v>
      </c>
      <c r="L67" s="127">
        <f>IFERROR(VLOOKUP("Po-218",$A$4:$Q$32,7)*VLOOKUP("Po-218",Doses!$A$1:$O$40,15)*$B67,0)</f>
        <v>0</v>
      </c>
      <c r="M67" s="115">
        <f t="shared" si="29"/>
        <v>0</v>
      </c>
      <c r="N67" s="127">
        <f t="shared" si="30"/>
        <v>0</v>
      </c>
      <c r="O67" s="127">
        <f t="shared" si="31"/>
        <v>0</v>
      </c>
      <c r="P67" s="127">
        <f t="shared" si="32"/>
        <v>0</v>
      </c>
      <c r="Q67" s="117">
        <f t="shared" si="33"/>
        <v>0</v>
      </c>
    </row>
    <row r="68" spans="1:17" ht="15">
      <c r="A68" s="113" t="s">
        <v>194</v>
      </c>
      <c r="B68" s="114">
        <v>2.0000000000000001E-4</v>
      </c>
      <c r="C68" s="132"/>
      <c r="D68" s="132"/>
      <c r="E68" s="132"/>
      <c r="F68" s="132"/>
      <c r="G68" s="132"/>
      <c r="H68" s="115">
        <f>IFERROR(VLOOKUP("At-218",$A$4:$Q$32,3)*VLOOKUP("At-218",Doses!$A$1:$O$40,9)*$B68,0)</f>
        <v>0</v>
      </c>
      <c r="I68" s="127">
        <f>IFERROR(VLOOKUP("At-218",$A$4:$Q$32,4)*VLOOKUP("At-218",Doses!$A$1:$O$40,12)*$B68,0)</f>
        <v>0</v>
      </c>
      <c r="J68" s="127">
        <f>IFERROR(VLOOKUP("At-218",$A$4:$Q$32,5)*VLOOKUP("At-218",Doses!$A$1:$O$40,13)*$B68,0)</f>
        <v>0</v>
      </c>
      <c r="K68" s="127">
        <f>IFERROR(VLOOKUP("At-218",$A$4:$Q$32,6)*VLOOKUP("At-218",Doses!$A$1:$O$40,14)*$B68,0)</f>
        <v>0</v>
      </c>
      <c r="L68" s="127">
        <f>IFERROR(VLOOKUP("At-218",$A$4:$Q$32,7)*VLOOKUP("At-218",Doses!$A$1:$O$40,15)*$B68,0)</f>
        <v>0</v>
      </c>
      <c r="M68" s="115">
        <f t="shared" ref="M68:Q69" si="34">IFERROR(H68/_1_bq,".")</f>
        <v>0</v>
      </c>
      <c r="N68" s="127">
        <f t="shared" si="34"/>
        <v>0</v>
      </c>
      <c r="O68" s="127">
        <f t="shared" si="34"/>
        <v>0</v>
      </c>
      <c r="P68" s="127">
        <f t="shared" si="34"/>
        <v>0</v>
      </c>
      <c r="Q68" s="117">
        <f t="shared" si="34"/>
        <v>0</v>
      </c>
    </row>
    <row r="69" spans="1:17" ht="15">
      <c r="A69" s="113" t="s">
        <v>196</v>
      </c>
      <c r="B69" s="114">
        <v>1.9999999999999999E-7</v>
      </c>
      <c r="C69" s="132"/>
      <c r="D69" s="132"/>
      <c r="E69" s="132"/>
      <c r="F69" s="132"/>
      <c r="G69" s="132"/>
      <c r="H69" s="115">
        <f>IFERROR(VLOOKUP("Rn-218",$A$4:$Q$32,3)*VLOOKUP("Rn-218",Doses!$A$1:$O$40,9)*$B69,0)</f>
        <v>1.8112832466550607E-12</v>
      </c>
      <c r="I69" s="127">
        <f>IFERROR(VLOOKUP("Rn-218",$A$4:$Q$32,4)*VLOOKUP("Rn-218",Doses!$A$1:$O$40,12)*$B69,0)</f>
        <v>2.5108130876980906E-13</v>
      </c>
      <c r="J69" s="127">
        <f>IFERROR(VLOOKUP("Rn-218",$A$4:$Q$32,5)*VLOOKUP("Rn-218",Doses!$A$1:$O$40,13)*$B69,0)</f>
        <v>3.4598909701767059E-13</v>
      </c>
      <c r="K69" s="127">
        <f>IFERROR(VLOOKUP("Rn-218",$A$4:$Q$32,6)*VLOOKUP("Rn-218",Doses!$A$1:$O$40,14)*$B69,0)</f>
        <v>1.0835275832590542E-12</v>
      </c>
      <c r="L69" s="127">
        <f>IFERROR(VLOOKUP("Rn-218",$A$4:$Q$32,7)*VLOOKUP("Rn-218",Doses!$A$1:$O$40,15)*$B69,0)</f>
        <v>1.3322928024776565E-12</v>
      </c>
      <c r="M69" s="115">
        <f t="shared" si="34"/>
        <v>6.7017480126237309E-14</v>
      </c>
      <c r="N69" s="127">
        <f t="shared" si="34"/>
        <v>9.2900084244829442E-15</v>
      </c>
      <c r="O69" s="127">
        <f t="shared" si="34"/>
        <v>1.2801596589653825E-14</v>
      </c>
      <c r="P69" s="127">
        <f t="shared" si="34"/>
        <v>4.0090520580585045E-14</v>
      </c>
      <c r="Q69" s="117">
        <f t="shared" si="34"/>
        <v>4.9294833691673341E-14</v>
      </c>
    </row>
    <row r="70" spans="1:17" ht="15">
      <c r="A70" s="113" t="s">
        <v>193</v>
      </c>
      <c r="B70" s="114">
        <v>0.99980000000000002</v>
      </c>
      <c r="C70" s="132"/>
      <c r="D70" s="132"/>
      <c r="E70" s="132"/>
      <c r="F70" s="132"/>
      <c r="G70" s="132"/>
      <c r="H70" s="115">
        <f>IFERROR(VLOOKUP("Pb-214",$A$4:$Q$32,3)*VLOOKUP("Pb-214",Doses!$A$1:$O$40,9)*$B70,0)</f>
        <v>1.8518956414681254</v>
      </c>
      <c r="I70" s="127">
        <f>IFERROR(VLOOKUP("Pb-214",$A$4:$Q$32,4)*VLOOKUP("Pb-214",Doses!$A$1:$O$40,12)*$B70,0)</f>
        <v>0.50040762225833857</v>
      </c>
      <c r="J70" s="127">
        <f>IFERROR(VLOOKUP("Pb-214",$A$4:$Q$32,5)*VLOOKUP("Pb-214",Doses!$A$1:$O$40,13)*$B70,0)</f>
        <v>0.51227446836918411</v>
      </c>
      <c r="K70" s="127">
        <f>IFERROR(VLOOKUP("Pb-214",$A$4:$Q$32,6)*VLOOKUP("Pb-214",Doses!$A$1:$O$40,14)*$B70,0)</f>
        <v>1.4263379822545177</v>
      </c>
      <c r="L70" s="127">
        <f>IFERROR(VLOOKUP("Pb-214",$A$4:$Q$32,7)*VLOOKUP("Pb-214",Doses!$A$1:$O$40,15)*$B70,0)</f>
        <v>1.8150384756853917</v>
      </c>
      <c r="M70" s="115">
        <f t="shared" ref="M70:M78" si="35">IFERROR(H70/_1_bq,".")</f>
        <v>6.852013873432071E-2</v>
      </c>
      <c r="N70" s="127">
        <f t="shared" ref="N70:N78" si="36">IFERROR(I70/_1_bq,".")</f>
        <v>1.8515082023558546E-2</v>
      </c>
      <c r="O70" s="127">
        <f t="shared" ref="O70:O78" si="37">IFERROR(J70/_1_bq,".")</f>
        <v>1.8954155329659831E-2</v>
      </c>
      <c r="P70" s="127">
        <f t="shared" ref="P70:P78" si="38">IFERROR(K70/_1_bq,".")</f>
        <v>5.2774505343417211E-2</v>
      </c>
      <c r="Q70" s="117">
        <f t="shared" ref="Q70:Q78" si="39">IFERROR(L70/_1_bq,".")</f>
        <v>6.715642360035956E-2</v>
      </c>
    </row>
    <row r="71" spans="1:17" ht="15">
      <c r="A71" s="113" t="s">
        <v>195</v>
      </c>
      <c r="B71" s="114">
        <v>0.99999979999999999</v>
      </c>
      <c r="C71" s="132"/>
      <c r="D71" s="132"/>
      <c r="E71" s="132"/>
      <c r="F71" s="132"/>
      <c r="G71" s="132"/>
      <c r="H71" s="115">
        <f>IFERROR(VLOOKUP("Bi-214",$A$4:$Q$32,3)*VLOOKUP("Bi-214",Doses!$A$1:$O$40,9)*$B71,0)</f>
        <v>21.072486781191301</v>
      </c>
      <c r="I71" s="127">
        <f>IFERROR(VLOOKUP("Bi-214",$A$4:$Q$32,4)*VLOOKUP("Bi-214",Doses!$A$1:$O$40,12)*$B71,0)</f>
        <v>2.6259998692951472</v>
      </c>
      <c r="J71" s="127">
        <f>IFERROR(VLOOKUP("Bi-214",$A$4:$Q$32,5)*VLOOKUP("Bi-214",Doses!$A$1:$O$40,13)*$B71,0)</f>
        <v>3.4122249221452998</v>
      </c>
      <c r="K71" s="127">
        <f>IFERROR(VLOOKUP("Bi-214",$A$4:$Q$32,6)*VLOOKUP("Bi-214",Doses!$A$1:$O$40,14)*$B71,0)</f>
        <v>10.245933870290536</v>
      </c>
      <c r="L71" s="127">
        <f>IFERROR(VLOOKUP("Bi-214",$A$4:$Q$32,7)*VLOOKUP("Bi-214",Doses!$A$1:$O$40,15)*$B71,0)</f>
        <v>13.890736250162513</v>
      </c>
      <c r="M71" s="115">
        <f t="shared" si="35"/>
        <v>0.77968201090407896</v>
      </c>
      <c r="N71" s="127">
        <f t="shared" si="36"/>
        <v>9.7161995163920545E-2</v>
      </c>
      <c r="O71" s="127">
        <f t="shared" si="37"/>
        <v>0.12625232211937623</v>
      </c>
      <c r="P71" s="127">
        <f t="shared" si="38"/>
        <v>0.37909955320075023</v>
      </c>
      <c r="Q71" s="117">
        <f t="shared" si="39"/>
        <v>0.5139572412560135</v>
      </c>
    </row>
    <row r="72" spans="1:17" ht="15">
      <c r="A72" s="113" t="s">
        <v>197</v>
      </c>
      <c r="B72" s="114">
        <v>0.99979000004200003</v>
      </c>
      <c r="C72" s="132"/>
      <c r="D72" s="132"/>
      <c r="E72" s="132"/>
      <c r="F72" s="132"/>
      <c r="G72" s="132"/>
      <c r="H72" s="115">
        <f>IFERROR(VLOOKUP("Po-214",$A$4:$Q$32,3)*VLOOKUP("Po-214",Doses!$A$1:$O$40,9)*$B72,0)</f>
        <v>9.3176929781811485E-8</v>
      </c>
      <c r="I72" s="127">
        <f>IFERROR(VLOOKUP("Po-214",$A$4:$Q$32,4)*VLOOKUP("Po-214",Doses!$A$1:$O$40,12)*$B72,0)</f>
        <v>1.10846598935043E-8</v>
      </c>
      <c r="J72" s="127">
        <f>IFERROR(VLOOKUP("Po-214",$A$4:$Q$32,5)*VLOOKUP("Po-214",Doses!$A$1:$O$40,13)*$B72,0)</f>
        <v>1.5638514784426971E-8</v>
      </c>
      <c r="K72" s="127">
        <f>IFERROR(VLOOKUP("Po-214",$A$4:$Q$32,6)*VLOOKUP("Po-214",Doses!$A$1:$O$40,14)*$B72,0)</f>
        <v>4.5873063250231903E-8</v>
      </c>
      <c r="L72" s="127">
        <f>IFERROR(VLOOKUP("Po-214",$A$4:$Q$32,7)*VLOOKUP("Po-214",Doses!$A$1:$O$40,15)*$B72,0)</f>
        <v>6.2865997395721753E-8</v>
      </c>
      <c r="M72" s="115">
        <f t="shared" si="35"/>
        <v>3.4475464019270283E-9</v>
      </c>
      <c r="N72" s="127">
        <f t="shared" si="36"/>
        <v>4.1013241605965953E-10</v>
      </c>
      <c r="O72" s="127">
        <f t="shared" si="37"/>
        <v>5.7862504702379854E-10</v>
      </c>
      <c r="P72" s="127">
        <f t="shared" si="38"/>
        <v>1.6973033402585822E-9</v>
      </c>
      <c r="Q72" s="117">
        <f t="shared" si="39"/>
        <v>2.3260419036417071E-9</v>
      </c>
    </row>
    <row r="73" spans="1:17" ht="15">
      <c r="A73" s="113" t="s">
        <v>198</v>
      </c>
      <c r="B73" s="114">
        <v>2.0999995799999999E-4</v>
      </c>
      <c r="C73" s="132"/>
      <c r="D73" s="132"/>
      <c r="E73" s="132"/>
      <c r="F73" s="132"/>
      <c r="G73" s="132"/>
      <c r="H73" s="115">
        <f>IFERROR(VLOOKUP("Tl-210",$A$4:$Q$32,3)*VLOOKUP("Tl-210",Doses!$A$1:$O$40,9)*$B73,0)</f>
        <v>1.9547168308115318E-2</v>
      </c>
      <c r="I73" s="127">
        <f>IFERROR(VLOOKUP("Tl-210",$A$4:$Q$32,4)*VLOOKUP("Tl-210",Doses!$A$1:$O$40,12)*$B73,0)</f>
        <v>2.9614667099466122E-3</v>
      </c>
      <c r="J73" s="127">
        <f>IFERROR(VLOOKUP("Tl-210",$A$4:$Q$32,5)*VLOOKUP("Tl-210",Doses!$A$1:$O$40,13)*$B73,0)</f>
        <v>3.5015886958425862E-3</v>
      </c>
      <c r="K73" s="127">
        <f>IFERROR(VLOOKUP("Tl-210",$A$4:$Q$32,6)*VLOOKUP("Tl-210",Doses!$A$1:$O$40,14)*$B73,0)</f>
        <v>1.0231341010295629E-2</v>
      </c>
      <c r="L73" s="127">
        <f>IFERROR(VLOOKUP("Tl-210",$A$4:$Q$32,7)*VLOOKUP("Tl-210",Doses!$A$1:$O$40,15)*$B73,0)</f>
        <v>1.4060725827999485E-2</v>
      </c>
      <c r="M73" s="115">
        <f t="shared" si="35"/>
        <v>7.2324522740026753E-4</v>
      </c>
      <c r="N73" s="127">
        <f t="shared" si="36"/>
        <v>1.0957426826802476E-4</v>
      </c>
      <c r="O73" s="127">
        <f t="shared" si="37"/>
        <v>1.2955878174617582E-4</v>
      </c>
      <c r="P73" s="127">
        <f t="shared" si="38"/>
        <v>3.7855961738093863E-4</v>
      </c>
      <c r="Q73" s="117">
        <f t="shared" si="39"/>
        <v>5.2024685563598148E-4</v>
      </c>
    </row>
    <row r="74" spans="1:17" ht="15">
      <c r="A74" s="113" t="s">
        <v>199</v>
      </c>
      <c r="B74" s="114">
        <v>1</v>
      </c>
      <c r="C74" s="132"/>
      <c r="D74" s="132"/>
      <c r="E74" s="132"/>
      <c r="F74" s="132"/>
      <c r="G74" s="132"/>
      <c r="H74" s="115">
        <f>IFERROR(VLOOKUP("Pb-210",$A$4:$Q$32,3)*VLOOKUP("Pb-210",Doses!$A$1:$O$40,9)*$B74,0)</f>
        <v>4.8993265510209887E-4</v>
      </c>
      <c r="I74" s="127">
        <f>IFERROR(VLOOKUP("Pb-210",$A$4:$Q$32,4)*VLOOKUP("Pb-210",Doses!$A$1:$O$40,12)*$B74,0)</f>
        <v>2.6957003262371203E-3</v>
      </c>
      <c r="J74" s="127">
        <f>IFERROR(VLOOKUP("Pb-210",$A$4:$Q$32,5)*VLOOKUP("Pb-210",Doses!$A$1:$O$40,13)*$B74,0)</f>
        <v>6.9057684050274329E-4</v>
      </c>
      <c r="K74" s="127">
        <f>IFERROR(VLOOKUP("Pb-210",$A$4:$Q$32,6)*VLOOKUP("Pb-210",Doses!$A$1:$O$40,14)*$B74,0)</f>
        <v>1.055215463487798E-3</v>
      </c>
      <c r="L74" s="127">
        <f>IFERROR(VLOOKUP("Pb-210",$A$4:$Q$32,7)*VLOOKUP("Pb-210",Doses!$A$1:$O$40,15)*$B74,0)</f>
        <v>1.0096437977307564E-3</v>
      </c>
      <c r="M74" s="115">
        <f t="shared" si="35"/>
        <v>1.8127508238777677E-5</v>
      </c>
      <c r="N74" s="127">
        <f t="shared" si="36"/>
        <v>9.9740912070773552E-5</v>
      </c>
      <c r="O74" s="127">
        <f t="shared" si="37"/>
        <v>2.5551343098601528E-5</v>
      </c>
      <c r="P74" s="127">
        <f t="shared" si="38"/>
        <v>3.9042972149048568E-5</v>
      </c>
      <c r="Q74" s="117">
        <f t="shared" si="39"/>
        <v>3.7356820516038027E-5</v>
      </c>
    </row>
    <row r="75" spans="1:17" ht="15">
      <c r="A75" s="113" t="s">
        <v>200</v>
      </c>
      <c r="B75" s="114">
        <v>1</v>
      </c>
      <c r="C75" s="132"/>
      <c r="D75" s="132"/>
      <c r="E75" s="132"/>
      <c r="F75" s="132"/>
      <c r="G75" s="132"/>
      <c r="H75" s="115">
        <f>IFERROR(VLOOKUP("Bi-210",$A$4:$Q$32,3)*VLOOKUP("Bi-210",Doses!$A$1:$O$40,9)*$B75,0)</f>
        <v>1.0731711487979084E-8</v>
      </c>
      <c r="I75" s="127">
        <f>IFERROR(VLOOKUP("Bi-210",$A$4:$Q$32,4)*VLOOKUP("Bi-210",Doses!$A$1:$O$40,12)*$B75,0)</f>
        <v>8.1660972287616294E-8</v>
      </c>
      <c r="J75" s="127">
        <f>IFERROR(VLOOKUP("Bi-210",$A$4:$Q$32,5)*VLOOKUP("Bi-210",Doses!$A$1:$O$40,13)*$B75,0)</f>
        <v>7.2671996576855971E-9</v>
      </c>
      <c r="K75" s="127">
        <f>IFERROR(VLOOKUP("Bi-210",$A$4:$Q$32,6)*VLOOKUP("Bi-210",Doses!$A$1:$O$40,14)*$B75,0)</f>
        <v>1.0516623208962207E-8</v>
      </c>
      <c r="L75" s="127">
        <f>IFERROR(VLOOKUP("Bi-210",$A$4:$Q$32,7)*VLOOKUP("Bi-210",Doses!$A$1:$O$40,15)*$B75,0)</f>
        <v>1.052413396184737E-8</v>
      </c>
      <c r="M75" s="115">
        <f t="shared" si="35"/>
        <v>3.9707332505522654E-10</v>
      </c>
      <c r="N75" s="127">
        <f t="shared" si="36"/>
        <v>3.021455974641806E-9</v>
      </c>
      <c r="O75" s="127">
        <f t="shared" si="37"/>
        <v>2.6888638733436734E-10</v>
      </c>
      <c r="P75" s="127">
        <f t="shared" si="38"/>
        <v>3.8911505873160204E-10</v>
      </c>
      <c r="Q75" s="117">
        <f t="shared" si="39"/>
        <v>3.8939295658835306E-10</v>
      </c>
    </row>
    <row r="76" spans="1:17" ht="15">
      <c r="A76" s="113" t="s">
        <v>202</v>
      </c>
      <c r="B76" s="114">
        <v>1</v>
      </c>
      <c r="C76" s="132"/>
      <c r="D76" s="132"/>
      <c r="E76" s="132"/>
      <c r="F76" s="132"/>
      <c r="G76" s="132"/>
      <c r="H76" s="115">
        <f>IFERROR(VLOOKUP("Po-210",$A$4:$Q$32,3)*VLOOKUP("Po-210",Doses!$A$1:$O$40,9)*$B76,0)</f>
        <v>1.2732911012436964E-9</v>
      </c>
      <c r="I76" s="127">
        <f>IFERROR(VLOOKUP("Po-210",$A$4:$Q$32,4)*VLOOKUP("Po-210",Doses!$A$1:$O$40,12)*$B76,0)</f>
        <v>1.5096197041580229E-10</v>
      </c>
      <c r="J76" s="127">
        <f>IFERROR(VLOOKUP("Po-210",$A$4:$Q$32,5)*VLOOKUP("Po-210",Doses!$A$1:$O$40,13)*$B76,0)</f>
        <v>2.1304459145654457E-10</v>
      </c>
      <c r="K76" s="127">
        <f>IFERROR(VLOOKUP("Po-210",$A$4:$Q$32,6)*VLOOKUP("Po-210",Doses!$A$1:$O$40,14)*$B76,0)</f>
        <v>6.256549639220176E-10</v>
      </c>
      <c r="L76" s="127">
        <f>IFERROR(VLOOKUP("Po-210",$A$4:$Q$32,7)*VLOOKUP("Po-210",Doses!$A$1:$O$40,15)*$B76,0)</f>
        <v>8.5309264435445232E-10</v>
      </c>
      <c r="M76" s="115">
        <f t="shared" si="35"/>
        <v>4.7111770746016817E-11</v>
      </c>
      <c r="N76" s="127">
        <f t="shared" si="36"/>
        <v>5.5855929053846904E-12</v>
      </c>
      <c r="O76" s="127">
        <f t="shared" si="37"/>
        <v>7.8826498838921577E-12</v>
      </c>
      <c r="P76" s="127">
        <f t="shared" si="38"/>
        <v>2.3149233665114675E-11</v>
      </c>
      <c r="Q76" s="117">
        <f t="shared" si="39"/>
        <v>3.1564427841114769E-11</v>
      </c>
    </row>
    <row r="77" spans="1:17" ht="15">
      <c r="A77" s="113" t="s">
        <v>201</v>
      </c>
      <c r="B77" s="114">
        <v>1.9000000000000001E-8</v>
      </c>
      <c r="C77" s="132"/>
      <c r="D77" s="132"/>
      <c r="E77" s="132"/>
      <c r="F77" s="132"/>
      <c r="G77" s="132"/>
      <c r="H77" s="115">
        <f>IFERROR(VLOOKUP("Hg-206",$A$4:$Q$32,3)*VLOOKUP("Hg-206",Doses!$A$1:$O$40,9)*$B77,0)</f>
        <v>7.8821320391684824E-9</v>
      </c>
      <c r="I77" s="127">
        <f>IFERROR(VLOOKUP("Hg-206",$A$4:$Q$32,4)*VLOOKUP("Hg-206",Doses!$A$1:$O$40,12)*$B77,0)</f>
        <v>2.4148347701982483E-9</v>
      </c>
      <c r="J77" s="127">
        <f>IFERROR(VLOOKUP("Hg-206",$A$4:$Q$32,5)*VLOOKUP("Hg-206",Doses!$A$1:$O$40,13)*$B77,0)</f>
        <v>2.1855588813540219E-9</v>
      </c>
      <c r="K77" s="127">
        <f>IFERROR(VLOOKUP("Hg-206",$A$4:$Q$32,6)*VLOOKUP("Hg-206",Doses!$A$1:$O$40,14)*$B77,0)</f>
        <v>6.0333310703955953E-9</v>
      </c>
      <c r="L77" s="127">
        <f>IFERROR(VLOOKUP("Hg-206",$A$4:$Q$32,7)*VLOOKUP("Hg-206",Doses!$A$1:$O$40,15)*$B77,0)</f>
        <v>7.5542552827557505E-9</v>
      </c>
      <c r="M77" s="115">
        <f t="shared" si="35"/>
        <v>2.9163888544923412E-10</v>
      </c>
      <c r="N77" s="127">
        <f t="shared" si="36"/>
        <v>8.9348886497335271E-11</v>
      </c>
      <c r="O77" s="127">
        <f t="shared" si="37"/>
        <v>8.0865678610098887E-11</v>
      </c>
      <c r="P77" s="127">
        <f t="shared" si="38"/>
        <v>2.2323324960463725E-10</v>
      </c>
      <c r="Q77" s="117">
        <f t="shared" si="39"/>
        <v>2.7950744546196304E-10</v>
      </c>
    </row>
    <row r="78" spans="1:17" ht="15.75" thickBot="1">
      <c r="A78" s="113" t="s">
        <v>203</v>
      </c>
      <c r="B78" s="114">
        <v>1.339E-6</v>
      </c>
      <c r="C78" s="132"/>
      <c r="D78" s="132"/>
      <c r="E78" s="132"/>
      <c r="F78" s="132"/>
      <c r="G78" s="132"/>
      <c r="H78" s="122">
        <f>IFERROR(VLOOKUP("Tl-206",$A$4:$Q$32,3)*VLOOKUP("Tl-206",Doses!$A$1:$O$40,9)*$B78,0)</f>
        <v>1.8080284481476237E-11</v>
      </c>
      <c r="I78" s="123">
        <f>IFERROR(VLOOKUP("Tl-206",$A$4:$Q$32,4)*VLOOKUP("Tl-206",Doses!$A$1:$O$40,12)*$B78,0)</f>
        <v>2.2806121447346394E-10</v>
      </c>
      <c r="J78" s="123">
        <f>IFERROR(VLOOKUP("Tl-206",$A$4:$Q$32,5)*VLOOKUP("Tl-206",Doses!$A$1:$O$40,13)*$B78,0)</f>
        <v>1.9556167223333197E-11</v>
      </c>
      <c r="K78" s="123">
        <f>IFERROR(VLOOKUP("Tl-206",$A$4:$Q$32,6)*VLOOKUP("Tl-206",Doses!$A$1:$O$40,14)*$B78,0)</f>
        <v>2.1603198237947408E-11</v>
      </c>
      <c r="L78" s="123">
        <f>IFERROR(VLOOKUP("Tl-206",$A$4:$Q$32,7)*VLOOKUP("Tl-206",Doses!$A$1:$O$40,15)*$B78,0)</f>
        <v>2.667177430378366E-11</v>
      </c>
      <c r="M78" s="122">
        <f t="shared" si="35"/>
        <v>6.6897052581462147E-13</v>
      </c>
      <c r="N78" s="123">
        <f t="shared" si="36"/>
        <v>8.4382649355181747E-12</v>
      </c>
      <c r="O78" s="123">
        <f t="shared" si="37"/>
        <v>7.23578187263329E-13</v>
      </c>
      <c r="P78" s="123">
        <f t="shared" si="38"/>
        <v>7.9931833480405493E-13</v>
      </c>
      <c r="Q78" s="124">
        <f t="shared" si="39"/>
        <v>9.8685564923999632E-13</v>
      </c>
    </row>
  </sheetData>
  <sheetProtection algorithmName="SHA-512" hashValue="dX5Ji4z1yBuYn7jOYP4iuJ4v9d351Z/osaVCHFk9U7GhWmvemzdaADo8eseBYhukZj0D3GgLegYDcL1bwVlCtw==" saltValue="xqXFEKHglqL2EIQacixy2w==" spinCount="100000" sheet="1" formatCells="0" formatColumns="0" formatRows="0" insertColumns="0" insertRows="0" autoFilter="0"/>
  <autoFilter ref="A2:Q78" xr:uid="{00000000-0009-0000-0000-000013000000}"/>
  <mergeCells count="3">
    <mergeCell ref="H1:L1"/>
    <mergeCell ref="M1:Q1"/>
    <mergeCell ref="C1:G1"/>
  </mergeCells>
  <pageMargins left="0.7" right="0.7" top="0.75" bottom="0.75" header="0.3" footer="0.3"/>
  <pageSetup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4" width="12" style="22" customWidth="1"/>
    <col min="5" max="5" width="13.7109375" style="22" bestFit="1" customWidth="1"/>
    <col min="6" max="6" width="13.85546875" style="22" bestFit="1" customWidth="1"/>
    <col min="7" max="7" width="13.42578125" style="22" bestFit="1" customWidth="1"/>
    <col min="8" max="8" width="13.7109375" style="22" bestFit="1" customWidth="1"/>
    <col min="9" max="9" width="13.85546875" style="22" bestFit="1" customWidth="1"/>
    <col min="10" max="10" width="13.42578125" style="22" bestFit="1" customWidth="1"/>
  </cols>
  <sheetData>
    <row r="1" spans="1:10" ht="13.5" thickBot="1">
      <c r="C1" s="153" t="s">
        <v>274</v>
      </c>
      <c r="D1" s="154"/>
      <c r="E1" s="146" t="s">
        <v>61</v>
      </c>
      <c r="F1" s="147"/>
      <c r="G1" s="147"/>
      <c r="H1" s="146" t="s">
        <v>138</v>
      </c>
      <c r="I1" s="147"/>
      <c r="J1" s="147"/>
    </row>
    <row r="2" spans="1:10">
      <c r="A2" s="11" t="s">
        <v>0</v>
      </c>
      <c r="B2" s="11" t="s">
        <v>43</v>
      </c>
      <c r="C2" s="96" t="s">
        <v>159</v>
      </c>
      <c r="D2" s="97" t="s">
        <v>160</v>
      </c>
      <c r="E2" s="35" t="s">
        <v>159</v>
      </c>
      <c r="F2" s="36" t="s">
        <v>160</v>
      </c>
      <c r="G2" s="38" t="s">
        <v>161</v>
      </c>
      <c r="H2" s="35" t="s">
        <v>159</v>
      </c>
      <c r="I2" s="36" t="s">
        <v>160</v>
      </c>
      <c r="J2" s="36" t="s">
        <v>161</v>
      </c>
    </row>
    <row r="3" spans="1:10" ht="13.5" thickBot="1">
      <c r="B3" s="26" t="s">
        <v>44</v>
      </c>
      <c r="C3" s="98" t="s">
        <v>265</v>
      </c>
      <c r="D3" s="99" t="s">
        <v>265</v>
      </c>
      <c r="E3" s="105" t="s">
        <v>266</v>
      </c>
      <c r="F3" s="106" t="s">
        <v>266</v>
      </c>
      <c r="G3" s="107" t="s">
        <v>266</v>
      </c>
      <c r="H3" s="105" t="s">
        <v>266</v>
      </c>
      <c r="I3" s="106" t="s">
        <v>266</v>
      </c>
      <c r="J3" s="107" t="s">
        <v>266</v>
      </c>
    </row>
    <row r="4" spans="1:10">
      <c r="A4" s="87" t="s">
        <v>23</v>
      </c>
      <c r="B4" s="12" t="s">
        <v>59</v>
      </c>
      <c r="C4" s="100">
        <f t="shared" ref="C4:C5" si="0">IFERROR(s_C*k_decay_iw*s_IFDiw*s_Fin*s_Fi,".")</f>
        <v>416585.66402924934</v>
      </c>
      <c r="D4" s="101">
        <f>IFERROR(s_C*k_decay*s_Fin*s_Fi*s_Fam*s_Foff*s_ETiw*(1/24)*s_EFiw*(1/365)*Isospec!R3,".")</f>
        <v>1.0968631609380699</v>
      </c>
      <c r="E4" s="100">
        <f>C4*Doses!C2</f>
        <v>59.496764536657388</v>
      </c>
      <c r="F4" s="131">
        <f>D4*Doses!L2</f>
        <v>1.6925476063803169E-2</v>
      </c>
      <c r="G4" s="108">
        <f>SUM((C4*Doses!C2),(D4*Doses!L2))</f>
        <v>59.513690012721192</v>
      </c>
      <c r="H4" s="100">
        <f t="shared" ref="H4:H5" si="1">E4/_1_bq</f>
        <v>2.2013802878563258</v>
      </c>
      <c r="I4" s="131">
        <f t="shared" ref="I4:I5" si="2">F4/_1_bq</f>
        <v>6.2624261436071795E-4</v>
      </c>
      <c r="J4" s="108">
        <f t="shared" ref="J4:J5" si="3">G4/_1_bq</f>
        <v>2.2020065304706864</v>
      </c>
    </row>
    <row r="5" spans="1:10">
      <c r="A5" s="88" t="s">
        <v>14</v>
      </c>
      <c r="B5" s="12" t="s">
        <v>44</v>
      </c>
      <c r="C5" s="100">
        <f t="shared" si="0"/>
        <v>416585.66402924934</v>
      </c>
      <c r="D5" s="101">
        <f>IFERROR(s_C*k_decay*s_Fin*s_Fi*s_Fam*s_Foff*s_ETiw*(1/24)*s_EFiw*(1/365)*Isospec!R4,".")</f>
        <v>1.0000229899723663</v>
      </c>
      <c r="E5" s="100">
        <f>C5*Doses!C3</f>
        <v>314.43885920927744</v>
      </c>
      <c r="F5" s="131">
        <f>D5*Doses!L3</f>
        <v>2.5484785881053774E-2</v>
      </c>
      <c r="G5" s="108">
        <f>SUM((C5*Doses!C3),(D5*Doses!L3))</f>
        <v>314.46434399515852</v>
      </c>
      <c r="H5" s="100">
        <f t="shared" si="1"/>
        <v>11.634237790743278</v>
      </c>
      <c r="I5" s="131">
        <f t="shared" si="2"/>
        <v>9.4293707759899063E-4</v>
      </c>
      <c r="J5" s="108">
        <f t="shared" si="3"/>
        <v>11.635180727820877</v>
      </c>
    </row>
    <row r="6" spans="1:10">
      <c r="A6" s="87" t="s">
        <v>15</v>
      </c>
      <c r="B6" s="12" t="s">
        <v>59</v>
      </c>
      <c r="C6" s="100">
        <f t="shared" ref="C6:C8" si="4">IFERROR(s_C*k_decay_iw*s_IFDiw*s_Fin*s_Fi,".")</f>
        <v>416585.66402924934</v>
      </c>
      <c r="D6" s="101">
        <f>IFERROR(s_C*k_decay*s_Fin*s_Fi*s_Fam*s_Foff*s_ETiw*(1/24)*s_EFiw*(1/365)*Isospec!R5,".")</f>
        <v>0.54546708543947264</v>
      </c>
      <c r="E6" s="100">
        <f>C6*Doses!C4</f>
        <v>0</v>
      </c>
      <c r="F6" s="131">
        <f>D6*Doses!L4</f>
        <v>1.447467821934748E-4</v>
      </c>
      <c r="G6" s="108">
        <f>SUM((C6*Doses!C4),(D6*Doses!L4))</f>
        <v>1.447467821934748E-4</v>
      </c>
      <c r="H6" s="100">
        <f t="shared" ref="H6:H8" si="5">E6/_1_bq</f>
        <v>0</v>
      </c>
      <c r="I6" s="131">
        <f t="shared" ref="I6:I8" si="6">F6/_1_bq</f>
        <v>5.3556309411585734E-6</v>
      </c>
      <c r="J6" s="108">
        <f t="shared" ref="J6:J8" si="7">G6/_1_bq</f>
        <v>5.3556309411585734E-6</v>
      </c>
    </row>
    <row r="7" spans="1:10">
      <c r="A7" s="87" t="s">
        <v>16</v>
      </c>
      <c r="B7" s="89" t="s">
        <v>59</v>
      </c>
      <c r="C7" s="100">
        <f t="shared" si="4"/>
        <v>416585.66402924934</v>
      </c>
      <c r="D7" s="101">
        <f>IFERROR(s_C*k_decay*s_Fin*s_Fi*s_Fam*s_Foff*s_ETiw*(1/24)*s_EFiw*(1/365)*Isospec!R6,".")</f>
        <v>1.7786970177374104</v>
      </c>
      <c r="E7" s="100">
        <f>C7*Doses!C5</f>
        <v>0</v>
      </c>
      <c r="F7" s="131">
        <f>D7*Doses!L5</f>
        <v>2.5991210171687906E-4</v>
      </c>
      <c r="G7" s="108">
        <f>SUM((C7*Doses!C5),(D7*Doses!L5))</f>
        <v>2.5991210171687906E-4</v>
      </c>
      <c r="H7" s="100">
        <f t="shared" si="5"/>
        <v>0</v>
      </c>
      <c r="I7" s="131">
        <f t="shared" si="6"/>
        <v>9.6167477635245356E-6</v>
      </c>
      <c r="J7" s="108">
        <f t="shared" si="7"/>
        <v>9.6167477635245356E-6</v>
      </c>
    </row>
    <row r="8" spans="1:10">
      <c r="A8" s="87" t="s">
        <v>18</v>
      </c>
      <c r="B8" s="12" t="s">
        <v>59</v>
      </c>
      <c r="C8" s="100">
        <f t="shared" si="4"/>
        <v>416585.66402924934</v>
      </c>
      <c r="D8" s="101">
        <f>IFERROR(s_C*k_decay*s_Fin*s_Fi*s_Fam*s_Foff*s_ETiw*(1/24)*s_EFiw*(1/365)*Isospec!R7,".")</f>
        <v>0.44072159439493613</v>
      </c>
      <c r="E8" s="100">
        <f>C8*Doses!C6</f>
        <v>0</v>
      </c>
      <c r="F8" s="131">
        <f>D8*Doses!L6</f>
        <v>0.29727244480011156</v>
      </c>
      <c r="G8" s="108">
        <f>SUM((C8*Doses!C6),(D8*Doses!L6))</f>
        <v>0.29727244480011156</v>
      </c>
      <c r="H8" s="100">
        <f t="shared" si="5"/>
        <v>0</v>
      </c>
      <c r="I8" s="131">
        <f t="shared" si="6"/>
        <v>1.0999080457604138E-2</v>
      </c>
      <c r="J8" s="108">
        <f t="shared" si="7"/>
        <v>1.0999080457604138E-2</v>
      </c>
    </row>
    <row r="9" spans="1:10">
      <c r="A9" s="87" t="s">
        <v>19</v>
      </c>
      <c r="B9" s="90" t="s">
        <v>59</v>
      </c>
      <c r="C9" s="100">
        <f t="shared" ref="C9:C11" si="8">IFERROR(s_C*k_decay_iw*s_IFDiw*s_Fin*s_Fi,".")</f>
        <v>416585.66402924934</v>
      </c>
      <c r="D9" s="101">
        <f>IFERROR(s_C*k_decay*s_Fin*s_Fi*s_Fam*s_Foff*s_ETiw*(1/24)*s_EFiw*(1/365)*Isospec!R8,".")</f>
        <v>0.50989314508472439</v>
      </c>
      <c r="E9" s="100">
        <f>C9*Doses!C7</f>
        <v>2.0191907135497718</v>
      </c>
      <c r="F9" s="131">
        <f>D9*Doses!L7</f>
        <v>2.0921884539801903E-2</v>
      </c>
      <c r="G9" s="108">
        <f>SUM((C9*Doses!C7),(D9*Doses!L7))</f>
        <v>2.0401125980895736</v>
      </c>
      <c r="H9" s="100">
        <f t="shared" ref="H9:H11" si="9">E9/_1_bq</f>
        <v>7.4710056401341637E-2</v>
      </c>
      <c r="I9" s="131">
        <f t="shared" ref="I9:I11" si="10">F9/_1_bq</f>
        <v>7.7410972797267122E-4</v>
      </c>
      <c r="J9" s="108">
        <f t="shared" ref="J9:J11" si="11">G9/_1_bq</f>
        <v>7.5484166129314301E-2</v>
      </c>
    </row>
    <row r="10" spans="1:10">
      <c r="A10" s="87" t="s">
        <v>20</v>
      </c>
      <c r="B10" s="12" t="s">
        <v>59</v>
      </c>
      <c r="C10" s="100">
        <f t="shared" si="8"/>
        <v>416585.66402924934</v>
      </c>
      <c r="D10" s="101">
        <f>IFERROR(s_C*k_decay*s_Fin*s_Fi*s_Fam*s_Foff*s_ETiw*(1/24)*s_EFiw*(1/365)*Isospec!R9,".")</f>
        <v>0.46443755463143493</v>
      </c>
      <c r="E10" s="100">
        <f>C10*Doses!C8</f>
        <v>0.30519065746782809</v>
      </c>
      <c r="F10" s="131">
        <f>D10*Doses!L8</f>
        <v>8.9040110223720173E-2</v>
      </c>
      <c r="G10" s="108">
        <f>SUM((C10*Doses!C8),(D10*Doses!L8))</f>
        <v>0.39423076769154825</v>
      </c>
      <c r="H10" s="100">
        <f t="shared" si="9"/>
        <v>1.129205432630965E-2</v>
      </c>
      <c r="I10" s="131">
        <f t="shared" si="10"/>
        <v>3.2944840782776499E-3</v>
      </c>
      <c r="J10" s="108">
        <f t="shared" si="11"/>
        <v>1.4586538404587299E-2</v>
      </c>
    </row>
    <row r="11" spans="1:10">
      <c r="A11" s="87" t="s">
        <v>21</v>
      </c>
      <c r="B11" s="90" t="s">
        <v>59</v>
      </c>
      <c r="C11" s="100">
        <f t="shared" si="8"/>
        <v>416585.66402924934</v>
      </c>
      <c r="D11" s="101">
        <f>IFERROR(s_C*k_decay*s_Fin*s_Fi*s_Fam*s_Foff*s_ETiw*(1/24)*s_EFiw*(1/365)*Isospec!R10,".")</f>
        <v>0.41898196417814554</v>
      </c>
      <c r="E11" s="100">
        <f>C11*Doses!C9</f>
        <v>0.17263309917372094</v>
      </c>
      <c r="F11" s="131">
        <f>D11*Doses!L9</f>
        <v>0.69550168089643805</v>
      </c>
      <c r="G11" s="108">
        <f>SUM((C11*Doses!C9),(D11*Doses!L9))</f>
        <v>0.86813478007015898</v>
      </c>
      <c r="H11" s="100">
        <f t="shared" si="9"/>
        <v>6.3874246694276809E-3</v>
      </c>
      <c r="I11" s="131">
        <f t="shared" si="10"/>
        <v>2.5733562193168233E-2</v>
      </c>
      <c r="J11" s="108">
        <f t="shared" si="11"/>
        <v>3.2120986862595916E-2</v>
      </c>
    </row>
    <row r="12" spans="1:10">
      <c r="A12" s="88" t="s">
        <v>17</v>
      </c>
      <c r="B12" s="12" t="s">
        <v>44</v>
      </c>
      <c r="C12" s="100">
        <f t="shared" ref="C12" si="12">IFERROR(s_C*k_decay_iw*s_IFDiw*s_Fin*s_Fi,".")</f>
        <v>416585.66402924934</v>
      </c>
      <c r="D12" s="101">
        <f>IFERROR(s_C*k_decay*s_Fin*s_Fi*s_Fam*s_Foff*s_ETiw*(1/24)*s_EFiw*(1/365)*Isospec!R11,".")</f>
        <v>0.46641388465114314</v>
      </c>
      <c r="E12" s="100">
        <f>C12*Doses!C10</f>
        <v>20.962590613951825</v>
      </c>
      <c r="F12" s="131">
        <f>D12*Doses!L10</f>
        <v>1.7065944115219932E-3</v>
      </c>
      <c r="G12" s="108">
        <f>SUM((C12*Doses!C10),(D12*Doses!L10))</f>
        <v>20.964297208363348</v>
      </c>
      <c r="H12" s="100">
        <f t="shared" ref="H12" si="13">E12/_1_bq</f>
        <v>0.77561585271621836</v>
      </c>
      <c r="I12" s="131">
        <f t="shared" ref="I12" si="14">F12/_1_bq</f>
        <v>6.3143993226313818E-5</v>
      </c>
      <c r="J12" s="108">
        <f t="shared" ref="J12" si="15">G12/_1_bq</f>
        <v>0.77567899670944462</v>
      </c>
    </row>
    <row r="13" spans="1:10">
      <c r="A13" s="87" t="s">
        <v>24</v>
      </c>
      <c r="B13" s="12" t="s">
        <v>59</v>
      </c>
      <c r="C13" s="100">
        <f t="shared" ref="C13" si="16">IFERROR(s_C*k_decay_iw*s_IFDiw*s_Fin*s_Fi,".")</f>
        <v>416585.66402924934</v>
      </c>
      <c r="D13" s="101">
        <f>IFERROR(s_C*k_decay*s_Fin*s_Fi*s_Fam*s_Foff*s_ETiw*(1/24)*s_EFiw*(1/365)*Isospec!R12,".")</f>
        <v>0.57708836575480427</v>
      </c>
      <c r="E13" s="100">
        <f>C13*Doses!C11</f>
        <v>0</v>
      </c>
      <c r="F13" s="131">
        <f>D13*Doses!L11</f>
        <v>1.814717845836215E-2</v>
      </c>
      <c r="G13" s="108">
        <f>SUM((C13*Doses!C11),(D13*Doses!L11))</f>
        <v>1.814717845836215E-2</v>
      </c>
      <c r="H13" s="100">
        <f t="shared" ref="H13" si="17">E13/_1_bq</f>
        <v>0</v>
      </c>
      <c r="I13" s="131">
        <f t="shared" ref="I13" si="18">F13/_1_bq</f>
        <v>6.7144560295940019E-4</v>
      </c>
      <c r="J13" s="108">
        <f t="shared" ref="J13" si="19">G13/_1_bq</f>
        <v>6.7144560295940019E-4</v>
      </c>
    </row>
    <row r="14" spans="1:10">
      <c r="A14" s="87" t="s">
        <v>22</v>
      </c>
      <c r="B14" s="89" t="s">
        <v>59</v>
      </c>
      <c r="C14" s="100">
        <f t="shared" ref="C14" si="20">IFERROR(s_C*k_decay_iw*s_IFDiw*s_Fin*s_Fi,".")</f>
        <v>416585.66402924934</v>
      </c>
      <c r="D14" s="101">
        <f>IFERROR(s_C*k_decay*s_Fin*s_Fi*s_Fam*s_Foff*s_ETiw*(1/24)*s_EFiw*(1/365)*Isospec!R13,".")</f>
        <v>0.50594048504530786</v>
      </c>
      <c r="E14" s="100">
        <f>C14*Doses!C12</f>
        <v>0</v>
      </c>
      <c r="F14" s="131">
        <f>D14*Doses!L12</f>
        <v>8.8125219625676765E-2</v>
      </c>
      <c r="G14" s="108">
        <f>SUM((C14*Doses!C12),(D14*Doses!L12))</f>
        <v>8.8125219625676765E-2</v>
      </c>
      <c r="H14" s="100">
        <f t="shared" ref="H14" si="21">E14/_1_bq</f>
        <v>0</v>
      </c>
      <c r="I14" s="131">
        <f t="shared" ref="I14" si="22">F14/_1_bq</f>
        <v>3.2606331261500437E-3</v>
      </c>
      <c r="J14" s="108">
        <f t="shared" ref="J14" si="23">G14/_1_bq</f>
        <v>3.2606331261500437E-3</v>
      </c>
    </row>
    <row r="15" spans="1:10">
      <c r="A15" s="87" t="s">
        <v>28</v>
      </c>
      <c r="B15" s="12" t="s">
        <v>59</v>
      </c>
      <c r="C15" s="100">
        <f t="shared" ref="C15:C16" si="24">IFERROR(s_C*k_decay_iw*s_IFDiw*s_Fin*s_Fi,".")</f>
        <v>416585.66402924934</v>
      </c>
      <c r="D15" s="101">
        <f>IFERROR(s_C*k_decay*s_Fin*s_Fi*s_Fam*s_Foff*s_ETiw*(1/24)*s_EFiw*(1/365)*Isospec!R14,".")</f>
        <v>1.0691945406621546</v>
      </c>
      <c r="E15" s="100">
        <f>C15*Doses!C13</f>
        <v>164.92626438917981</v>
      </c>
      <c r="F15" s="131">
        <f>D15*Doses!L13</f>
        <v>3.0497277400031032E-2</v>
      </c>
      <c r="G15" s="108">
        <f>SUM((C15*Doses!C13),(D15*Doses!L13))</f>
        <v>164.95676166657984</v>
      </c>
      <c r="H15" s="100">
        <f t="shared" ref="H15:H16" si="25">E15/_1_bq</f>
        <v>6.1022717823996588</v>
      </c>
      <c r="I15" s="131">
        <f t="shared" ref="I15:I16" si="26">F15/_1_bq</f>
        <v>1.1283992638011493E-3</v>
      </c>
      <c r="J15" s="108">
        <f t="shared" ref="J15:J16" si="27">G15/_1_bq</f>
        <v>6.10340018166346</v>
      </c>
    </row>
    <row r="16" spans="1:10">
      <c r="A16" s="87" t="s">
        <v>29</v>
      </c>
      <c r="B16" s="12" t="s">
        <v>59</v>
      </c>
      <c r="C16" s="100">
        <f t="shared" si="24"/>
        <v>416585.66402924934</v>
      </c>
      <c r="D16" s="101">
        <f>IFERROR(s_C*k_decay*s_Fin*s_Fi*s_Fam*s_Foff*s_ETiw*(1/24)*s_EFiw*(1/365)*Isospec!R15,".")</f>
        <v>0.71543146713438066</v>
      </c>
      <c r="E16" s="100">
        <f>C16*Doses!C14</f>
        <v>1.4889604803733429</v>
      </c>
      <c r="F16" s="131">
        <f>D16*Doses!L14</f>
        <v>0.16894055578617836</v>
      </c>
      <c r="G16" s="108">
        <f>SUM((C16*Doses!C14),(D16*Doses!L14))</f>
        <v>1.6579010361595212</v>
      </c>
      <c r="H16" s="100">
        <f t="shared" si="25"/>
        <v>5.5091537773813745E-2</v>
      </c>
      <c r="I16" s="131">
        <f t="shared" si="26"/>
        <v>6.2508005640886056E-3</v>
      </c>
      <c r="J16" s="108">
        <f t="shared" si="27"/>
        <v>6.1342338337902348E-2</v>
      </c>
    </row>
    <row r="17" spans="1:10">
      <c r="A17" s="87" t="s">
        <v>32</v>
      </c>
      <c r="B17" s="12" t="s">
        <v>59</v>
      </c>
      <c r="C17" s="100">
        <f t="shared" ref="C17:C23" si="28">IFERROR(s_C*k_decay_iw*s_IFDiw*s_Fin*s_Fi,".")</f>
        <v>416585.66402924934</v>
      </c>
      <c r="D17" s="101">
        <f>IFERROR(s_C*k_decay*s_Fin*s_Fi*s_Fam*s_Foff*s_ETiw*(1/24)*s_EFiw*(1/365)*Isospec!R16,".")</f>
        <v>1.7786970177374104</v>
      </c>
      <c r="E17" s="100">
        <f>C17*Doses!C15</f>
        <v>8.739550645669622E-2</v>
      </c>
      <c r="F17" s="131">
        <f>D17*Doses!L15</f>
        <v>6.632956835814754E-3</v>
      </c>
      <c r="G17" s="108">
        <f>SUM((C17*Doses!C15),(D17*Doses!L15))</f>
        <v>9.402846329251098E-2</v>
      </c>
      <c r="H17" s="100">
        <f t="shared" ref="H17:H23" si="29">E17/_1_bq</f>
        <v>3.2336337388977634E-3</v>
      </c>
      <c r="I17" s="131">
        <f t="shared" ref="I17:I23" si="30">F17/_1_bq</f>
        <v>2.4541940292514613E-4</v>
      </c>
      <c r="J17" s="108">
        <f t="shared" ref="J17:J23" si="31">G17/_1_bq</f>
        <v>3.4790531418229099E-3</v>
      </c>
    </row>
    <row r="18" spans="1:10">
      <c r="A18" s="87" t="s">
        <v>33</v>
      </c>
      <c r="B18" s="90" t="s">
        <v>59</v>
      </c>
      <c r="C18" s="100">
        <f t="shared" si="28"/>
        <v>416585.66402924934</v>
      </c>
      <c r="D18" s="101">
        <f>IFERROR(s_C*k_decay*s_Fin*s_Fi*s_Fam*s_Foff*s_ETiw*(1/24)*s_EFiw*(1/365)*Isospec!R17,".")</f>
        <v>1.3656440436183894</v>
      </c>
      <c r="E18" s="100">
        <f>C18*Doses!C16</f>
        <v>1072.791402008123</v>
      </c>
      <c r="F18" s="131">
        <f>D18*Doses!L16</f>
        <v>3.4642702147680772E-3</v>
      </c>
      <c r="G18" s="108">
        <f>SUM((C18*Doses!C16),(D18*Doses!L16))</f>
        <v>1072.7948662783378</v>
      </c>
      <c r="H18" s="100">
        <f t="shared" si="29"/>
        <v>39.693281874300588</v>
      </c>
      <c r="I18" s="131">
        <f t="shared" si="30"/>
        <v>1.2817799794641899E-4</v>
      </c>
      <c r="J18" s="108">
        <f t="shared" si="31"/>
        <v>39.693410052298539</v>
      </c>
    </row>
    <row r="19" spans="1:10">
      <c r="A19" s="87" t="s">
        <v>34</v>
      </c>
      <c r="B19" s="90" t="s">
        <v>59</v>
      </c>
      <c r="C19" s="100">
        <f t="shared" si="28"/>
        <v>416585.66402924934</v>
      </c>
      <c r="D19" s="101">
        <f>IFERROR(s_C*k_decay*s_Fin*s_Fi*s_Fam*s_Foff*s_ETiw*(1/24)*s_EFiw*(1/365)*Isospec!R18,".")</f>
        <v>0.5375617653606396</v>
      </c>
      <c r="E19" s="100">
        <f>C19*Doses!C17</f>
        <v>0.21425000701024294</v>
      </c>
      <c r="F19" s="131">
        <f>D19*Doses!L17</f>
        <v>0.15270355800070082</v>
      </c>
      <c r="G19" s="108">
        <f>SUM((C19*Doses!C17),(D19*Doses!L17))</f>
        <v>0.36695356501094378</v>
      </c>
      <c r="H19" s="100">
        <f t="shared" si="29"/>
        <v>7.927250259378996E-3</v>
      </c>
      <c r="I19" s="131">
        <f t="shared" si="30"/>
        <v>5.6500316460259357E-3</v>
      </c>
      <c r="J19" s="108">
        <f t="shared" si="31"/>
        <v>1.3577281905404933E-2</v>
      </c>
    </row>
    <row r="20" spans="1:10">
      <c r="A20" s="87" t="s">
        <v>36</v>
      </c>
      <c r="B20" s="90" t="s">
        <v>59</v>
      </c>
      <c r="C20" s="100">
        <f t="shared" si="28"/>
        <v>416585.66402924934</v>
      </c>
      <c r="D20" s="101">
        <f>IFERROR(s_C*k_decay*s_Fin*s_Fi*s_Fam*s_Foff*s_ETiw*(1/24)*s_EFiw*(1/365)*Isospec!R19,".")</f>
        <v>0.42688728425697853</v>
      </c>
      <c r="E20" s="100">
        <f>C20*Doses!C18</f>
        <v>1865.0540178589492</v>
      </c>
      <c r="F20" s="131">
        <f>D20*Doses!L18</f>
        <v>4.601067989432881E-6</v>
      </c>
      <c r="G20" s="108">
        <f>SUM((C20*Doses!C18),(D20*Doses!L18))</f>
        <v>1865.0540224600172</v>
      </c>
      <c r="H20" s="100">
        <f t="shared" si="29"/>
        <v>69.006998660781193</v>
      </c>
      <c r="I20" s="131">
        <f t="shared" si="30"/>
        <v>1.7023951560901678E-7</v>
      </c>
      <c r="J20" s="108">
        <f t="shared" si="31"/>
        <v>69.006998831020709</v>
      </c>
    </row>
    <row r="21" spans="1:10">
      <c r="A21" s="87" t="s">
        <v>37</v>
      </c>
      <c r="B21" s="12" t="s">
        <v>59</v>
      </c>
      <c r="C21" s="100">
        <f t="shared" si="28"/>
        <v>416585.66402924934</v>
      </c>
      <c r="D21" s="101">
        <f>IFERROR(s_C*k_decay*s_Fin*s_Fi*s_Fam*s_Foff*s_ETiw*(1/24)*s_EFiw*(1/365)*Isospec!R20,".")</f>
        <v>0.42886361427668673</v>
      </c>
      <c r="E21" s="100">
        <f>C21*Doses!C19</f>
        <v>0</v>
      </c>
      <c r="F21" s="131">
        <f>D21*Doses!L19</f>
        <v>1.7897893873693253E-5</v>
      </c>
      <c r="G21" s="108">
        <f>SUM((C21*Doses!C19),(D21*Doses!L19))</f>
        <v>1.7897893873693253E-5</v>
      </c>
      <c r="H21" s="100">
        <f t="shared" si="29"/>
        <v>0</v>
      </c>
      <c r="I21" s="131">
        <f t="shared" si="30"/>
        <v>6.6222207332665107E-7</v>
      </c>
      <c r="J21" s="108">
        <f t="shared" si="31"/>
        <v>6.6222207332665107E-7</v>
      </c>
    </row>
    <row r="22" spans="1:10">
      <c r="A22" s="87" t="s">
        <v>38</v>
      </c>
      <c r="B22" s="90" t="s">
        <v>59</v>
      </c>
      <c r="C22" s="100">
        <f t="shared" si="28"/>
        <v>416585.66402924934</v>
      </c>
      <c r="D22" s="101">
        <f>IFERROR(s_C*k_decay*s_Fin*s_Fi*s_Fam*s_Foff*s_ETiw*(1/24)*s_EFiw*(1/365)*Isospec!R21,".")</f>
        <v>0.42688728425697853</v>
      </c>
      <c r="E22" s="100">
        <f>C22*Doses!C20</f>
        <v>0</v>
      </c>
      <c r="F22" s="131">
        <f>D22*Doses!L20</f>
        <v>3.9273758217827297E-5</v>
      </c>
      <c r="G22" s="108">
        <f>SUM((C22*Doses!C20),(D22*Doses!L20))</f>
        <v>3.9273758217827297E-5</v>
      </c>
      <c r="H22" s="100">
        <f t="shared" si="29"/>
        <v>0</v>
      </c>
      <c r="I22" s="131">
        <f t="shared" si="30"/>
        <v>1.4531290540596115E-6</v>
      </c>
      <c r="J22" s="108">
        <f t="shared" si="31"/>
        <v>1.4531290540596115E-6</v>
      </c>
    </row>
    <row r="23" spans="1:10">
      <c r="A23" s="87" t="s">
        <v>39</v>
      </c>
      <c r="B23" s="90" t="s">
        <v>59</v>
      </c>
      <c r="C23" s="100">
        <f t="shared" si="28"/>
        <v>416585.66402924934</v>
      </c>
      <c r="D23" s="101">
        <f>IFERROR(s_C*k_decay*s_Fin*s_Fi*s_Fam*s_Foff*s_ETiw*(1/24)*s_EFiw*(1/365)*Isospec!R22,".")</f>
        <v>1.7786970177374104</v>
      </c>
      <c r="E23" s="100">
        <f>C23*Doses!C21</f>
        <v>0</v>
      </c>
      <c r="F23" s="131">
        <f>D23*Doses!L21</f>
        <v>1.3827323811337969E-8</v>
      </c>
      <c r="G23" s="108">
        <f>SUM((C23*Doses!C21),(D23*Doses!L21))</f>
        <v>1.3827323811337969E-8</v>
      </c>
      <c r="H23" s="100">
        <f t="shared" si="29"/>
        <v>0</v>
      </c>
      <c r="I23" s="131">
        <f t="shared" si="30"/>
        <v>5.1161098101950535E-10</v>
      </c>
      <c r="J23" s="108">
        <f t="shared" si="31"/>
        <v>5.1161098101950535E-10</v>
      </c>
    </row>
    <row r="24" spans="1:10">
      <c r="A24" s="87" t="s">
        <v>26</v>
      </c>
      <c r="B24" s="12" t="s">
        <v>59</v>
      </c>
      <c r="C24" s="100">
        <f t="shared" ref="C24:C25" si="32">IFERROR(s_C*k_decay_iw*s_IFDiw*s_Fin*s_Fi,".")</f>
        <v>416585.66402924934</v>
      </c>
      <c r="D24" s="101">
        <f>IFERROR(s_C*k_decay*s_Fin*s_Fi*s_Fam*s_Foff*s_ETiw*(1/24)*s_EFiw*(1/365)*Isospec!R23,".")</f>
        <v>0.9348040993219946</v>
      </c>
      <c r="E24" s="100">
        <f>C24*Doses!C22</f>
        <v>153.52014890805896</v>
      </c>
      <c r="F24" s="131">
        <f>D24*Doses!L22</f>
        <v>1.2020645913181529E-2</v>
      </c>
      <c r="G24" s="108">
        <f>SUM((C24*Doses!C22),(D24*Doses!L22))</f>
        <v>153.53216955397212</v>
      </c>
      <c r="H24" s="100">
        <f t="shared" ref="H24:H25" si="33">E24/_1_bq</f>
        <v>5.680245509598187</v>
      </c>
      <c r="I24" s="131">
        <f t="shared" ref="I24:I25" si="34">F24/_1_bq</f>
        <v>4.4476389878771703E-4</v>
      </c>
      <c r="J24" s="108">
        <f t="shared" ref="J24:J25" si="35">G24/_1_bq</f>
        <v>5.6806902734969746</v>
      </c>
    </row>
    <row r="25" spans="1:10">
      <c r="A25" s="88" t="s">
        <v>27</v>
      </c>
      <c r="B25" s="90" t="s">
        <v>44</v>
      </c>
      <c r="C25" s="100">
        <f t="shared" si="32"/>
        <v>416585.66402924934</v>
      </c>
      <c r="D25" s="101">
        <f>IFERROR(s_C*k_decay*s_Fin*s_Fi*s_Fam*s_Foff*s_ETiw*(1/24)*s_EFiw*(1/365)*Isospec!R24,".")</f>
        <v>0.62452028622780187</v>
      </c>
      <c r="E25" s="100">
        <f>C25*Doses!C23</f>
        <v>431.58274793430235</v>
      </c>
      <c r="F25" s="131">
        <f>D25*Doses!L23</f>
        <v>4.8768289535300064E-3</v>
      </c>
      <c r="G25" s="108">
        <f>SUM((C25*Doses!C23),(D25*Doses!L23))</f>
        <v>431.58762476325586</v>
      </c>
      <c r="H25" s="100">
        <f t="shared" si="33"/>
        <v>15.968561673569203</v>
      </c>
      <c r="I25" s="131">
        <f t="shared" si="34"/>
        <v>1.8044267128061042E-4</v>
      </c>
      <c r="J25" s="108">
        <f t="shared" si="35"/>
        <v>15.968742116240483</v>
      </c>
    </row>
    <row r="26" spans="1:10">
      <c r="A26" s="87" t="s">
        <v>30</v>
      </c>
      <c r="B26" s="90" t="s">
        <v>59</v>
      </c>
      <c r="C26" s="100">
        <f t="shared" ref="C26" si="36">IFERROR(s_C*k_decay_iw*s_IFDiw*s_Fin*s_Fi,".")</f>
        <v>416585.66402924934</v>
      </c>
      <c r="D26" s="101">
        <f>IFERROR(s_C*k_decay*s_Fin*s_Fi*s_Fam*s_Foff*s_ETiw*(1/24)*s_EFiw*(1/365)*Isospec!R25,".")</f>
        <v>0.44072159439493613</v>
      </c>
      <c r="E26" s="100">
        <f>C26*Doses!C24</f>
        <v>0</v>
      </c>
      <c r="F26" s="131">
        <f>D26*Doses!L24</f>
        <v>3.7300736574572056E-4</v>
      </c>
      <c r="G26" s="108">
        <f>SUM((C26*Doses!C24),(D26*Doses!L24))</f>
        <v>3.7300736574572056E-4</v>
      </c>
      <c r="H26" s="100">
        <f t="shared" ref="H26" si="37">E26/_1_bq</f>
        <v>0</v>
      </c>
      <c r="I26" s="131">
        <f t="shared" ref="I26" si="38">F26/_1_bq</f>
        <v>1.3801272532591676E-5</v>
      </c>
      <c r="J26" s="108">
        <f t="shared" ref="J26" si="39">G26/_1_bq</f>
        <v>1.3801272532591676E-5</v>
      </c>
    </row>
    <row r="27" spans="1:10">
      <c r="A27" s="88" t="s">
        <v>31</v>
      </c>
      <c r="B27" s="90" t="s">
        <v>44</v>
      </c>
      <c r="C27" s="100">
        <f t="shared" ref="C27" si="40">IFERROR(s_C*k_decay_iw*s_IFDiw*s_Fin*s_Fi,".")</f>
        <v>416585.66402924934</v>
      </c>
      <c r="D27" s="101">
        <f>IFERROR(s_C*k_decay*s_Fin*s_Fi*s_Fam*s_Foff*s_ETiw*(1/24)*s_EFiw*(1/365)*Isospec!R26,".")</f>
        <v>0.44072159439493613</v>
      </c>
      <c r="E27" s="100">
        <f>C27*Doses!C25</f>
        <v>0</v>
      </c>
      <c r="F27" s="131">
        <f>D27*Doses!L25</f>
        <v>1.9165571831133708E-4</v>
      </c>
      <c r="G27" s="108">
        <f>SUM((C27*Doses!C25),(D27*Doses!L25))</f>
        <v>1.9165571831133708E-4</v>
      </c>
      <c r="H27" s="100">
        <f t="shared" ref="H27" si="41">E27/_1_bq</f>
        <v>0</v>
      </c>
      <c r="I27" s="131">
        <f t="shared" ref="I27" si="42">F27/_1_bq</f>
        <v>7.0912615775194794E-6</v>
      </c>
      <c r="J27" s="108">
        <f t="shared" ref="J27" si="43">G27/_1_bq</f>
        <v>7.0912615775194794E-6</v>
      </c>
    </row>
    <row r="28" spans="1:10">
      <c r="A28" s="87" t="s">
        <v>35</v>
      </c>
      <c r="B28" s="12" t="s">
        <v>59</v>
      </c>
      <c r="C28" s="100">
        <f t="shared" ref="C28:C31" si="44">IFERROR(s_C*k_decay_iw*s_IFDiw*s_Fin*s_Fi,".")</f>
        <v>416585.66402924934</v>
      </c>
      <c r="D28" s="101">
        <f>IFERROR(s_C*k_decay*s_Fin*s_Fi*s_Fam*s_Foff*s_ETiw*(1/24)*s_EFiw*(1/365)*Isospec!R27,".")</f>
        <v>1.021762620189157</v>
      </c>
      <c r="E28" s="100">
        <f>C28*Doses!C26</f>
        <v>769.14211149720302</v>
      </c>
      <c r="F28" s="131">
        <f>D28*Doses!L26</f>
        <v>9.2569138982587146E-2</v>
      </c>
      <c r="G28" s="108">
        <f>SUM((C28*Doses!C26),(D28*Doses!L26))</f>
        <v>769.23468063618566</v>
      </c>
      <c r="H28" s="100">
        <f t="shared" ref="H28:H31" si="45">E28/_1_bq</f>
        <v>28.45825812539654</v>
      </c>
      <c r="I28" s="131">
        <f t="shared" ref="I28:I31" si="46">F28/_1_bq</f>
        <v>3.4250581423557278E-3</v>
      </c>
      <c r="J28" s="108">
        <f t="shared" ref="J28:J31" si="47">G28/_1_bq</f>
        <v>28.461683183538899</v>
      </c>
    </row>
    <row r="29" spans="1:10">
      <c r="A29" s="87" t="s">
        <v>40</v>
      </c>
      <c r="B29" s="90" t="s">
        <v>59</v>
      </c>
      <c r="C29" s="100">
        <f t="shared" si="44"/>
        <v>416585.66402924934</v>
      </c>
      <c r="D29" s="101">
        <f>IFERROR(s_C*k_decay*s_Fin*s_Fi*s_Fam*s_Foff*s_ETiw*(1/24)*s_EFiw*(1/365)*Isospec!R28,".")</f>
        <v>0.78657934784387706</v>
      </c>
      <c r="E29" s="100">
        <f>C29*Doses!C27</f>
        <v>0</v>
      </c>
      <c r="F29" s="131">
        <f>D29*Doses!L27</f>
        <v>5.6274088966924929E-2</v>
      </c>
      <c r="G29" s="108">
        <f>SUM((C29*Doses!C27),(D29*Doses!L27))</f>
        <v>5.6274088966924929E-2</v>
      </c>
      <c r="H29" s="100">
        <f t="shared" si="45"/>
        <v>0</v>
      </c>
      <c r="I29" s="131">
        <f t="shared" si="46"/>
        <v>2.0821412917762243E-3</v>
      </c>
      <c r="J29" s="108">
        <f t="shared" si="47"/>
        <v>2.0821412917762243E-3</v>
      </c>
    </row>
    <row r="30" spans="1:10">
      <c r="A30" s="87" t="s">
        <v>41</v>
      </c>
      <c r="B30" s="12" t="s">
        <v>59</v>
      </c>
      <c r="C30" s="100">
        <f t="shared" si="44"/>
        <v>416585.66402924934</v>
      </c>
      <c r="D30" s="101">
        <f>IFERROR(s_C*k_decay*s_Fin*s_Fi*s_Fam*s_Foff*s_ETiw*(1/24)*s_EFiw*(1/365)*Isospec!R29,".")</f>
        <v>0.43083994429639499</v>
      </c>
      <c r="E30" s="100">
        <f>C30*Doses!C28</f>
        <v>0</v>
      </c>
      <c r="F30" s="131">
        <f>D30*Doses!L28</f>
        <v>1.0173768276626212</v>
      </c>
      <c r="G30" s="108">
        <f>SUM((C30*Doses!C28),(D30*Doses!L28))</f>
        <v>1.0173768276626212</v>
      </c>
      <c r="H30" s="100">
        <f t="shared" si="45"/>
        <v>0</v>
      </c>
      <c r="I30" s="131">
        <f t="shared" si="46"/>
        <v>3.7642942623517021E-2</v>
      </c>
      <c r="J30" s="108">
        <f t="shared" si="47"/>
        <v>3.7642942623517021E-2</v>
      </c>
    </row>
    <row r="31" spans="1:10">
      <c r="A31" s="87" t="s">
        <v>42</v>
      </c>
      <c r="B31" s="90" t="s">
        <v>59</v>
      </c>
      <c r="C31" s="100">
        <f t="shared" si="44"/>
        <v>416585.66402924934</v>
      </c>
      <c r="D31" s="101">
        <f>IFERROR(s_C*k_decay*s_Fin*s_Fi*s_Fam*s_Foff*s_ETiw*(1/24)*s_EFiw*(1/365)*Isospec!R30,".")</f>
        <v>0.43479260433581146</v>
      </c>
      <c r="E31" s="100">
        <f>C31*Doses!C29</f>
        <v>0</v>
      </c>
      <c r="F31" s="131">
        <f>D31*Doses!L29</f>
        <v>1.3418395437970079</v>
      </c>
      <c r="G31" s="108">
        <f>SUM((C31*Doses!C29),(D31*Doses!L29))</f>
        <v>1.3418395437970079</v>
      </c>
      <c r="H31" s="100">
        <f t="shared" si="45"/>
        <v>0</v>
      </c>
      <c r="I31" s="131">
        <f t="shared" si="46"/>
        <v>4.964806312048934E-2</v>
      </c>
      <c r="J31" s="108">
        <f t="shared" si="47"/>
        <v>4.964806312048934E-2</v>
      </c>
    </row>
    <row r="32" spans="1:10" ht="13.5" thickBot="1">
      <c r="A32" s="87" t="s">
        <v>25</v>
      </c>
      <c r="B32" s="12" t="s">
        <v>59</v>
      </c>
      <c r="C32" s="100">
        <f t="shared" ref="C32" si="48">IFERROR(s_C*k_decay_iw*s_IFDiw*s_Fin*s_Fi,".")</f>
        <v>416585.66402924934</v>
      </c>
      <c r="D32" s="101">
        <f>IFERROR(s_C*k_decay*s_Fin*s_Fi*s_Fam*s_Foff*s_ETiw*(1/24)*s_EFiw*(1/365)*Isospec!R31,".")</f>
        <v>1.2352062623176461</v>
      </c>
      <c r="E32" s="100">
        <f>C32*Doses!C30</f>
        <v>78.917988193700992</v>
      </c>
      <c r="F32" s="131">
        <f>D32*Doses!L30</f>
        <v>6.8732311342908025E-4</v>
      </c>
      <c r="G32" s="108">
        <f>SUM((C32*Doses!C30),(D32*Doses!L30))</f>
        <v>78.918675516814417</v>
      </c>
      <c r="H32" s="100">
        <f t="shared" ref="H32" si="49">E32/_1_bq</f>
        <v>2.9199655631669397</v>
      </c>
      <c r="I32" s="131">
        <f t="shared" ref="I32" si="50">F32/_1_bq</f>
        <v>2.5430955196875994E-5</v>
      </c>
      <c r="J32" s="108">
        <f t="shared" ref="J32" si="51">G32/_1_bq</f>
        <v>2.9199909941221365</v>
      </c>
    </row>
    <row r="33" spans="1:10" ht="15">
      <c r="A33" s="109" t="s">
        <v>14</v>
      </c>
      <c r="B33" s="109" t="s">
        <v>59</v>
      </c>
      <c r="C33" s="128"/>
      <c r="D33" s="129"/>
      <c r="E33" s="110">
        <f>SUM(E34:E46)</f>
        <v>1542.3236362680357</v>
      </c>
      <c r="F33" s="111">
        <f t="shared" ref="F33:G33" si="52">SUM(F34:F46)</f>
        <v>0.48235686051440491</v>
      </c>
      <c r="G33" s="112">
        <f t="shared" si="52"/>
        <v>1542.8059931285502</v>
      </c>
      <c r="H33" s="110">
        <f t="shared" ref="H33:H60" si="53">E33/_1_bq</f>
        <v>57.065974541917377</v>
      </c>
      <c r="I33" s="111">
        <f t="shared" ref="I33:I60" si="54">F33/_1_bq</f>
        <v>1.7847203839032998E-2</v>
      </c>
      <c r="J33" s="112">
        <f t="shared" ref="J33:J60" si="55">G33/_1_bq</f>
        <v>57.083821745756417</v>
      </c>
    </row>
    <row r="34" spans="1:10" ht="15">
      <c r="A34" s="113" t="s">
        <v>175</v>
      </c>
      <c r="B34" s="114">
        <v>1</v>
      </c>
      <c r="C34" s="128"/>
      <c r="D34" s="129"/>
      <c r="E34" s="115">
        <f>IFERROR(VLOOKUP("Am-241",$A$4:$J$32,3)*VLOOKUP("Am-241",Doses!$A$1:$O$30,3)*$B34,0)</f>
        <v>314.43885920927744</v>
      </c>
      <c r="F34" s="127">
        <f>IFERROR(VLOOKUP("Am-241",$A$4:$J$32,4)*VLOOKUP("Am-241",Doses!$A$1:$O$30,12)*$B34,0)</f>
        <v>2.5484785881053774E-2</v>
      </c>
      <c r="G34" s="117">
        <f>SUM(E34:F34)</f>
        <v>314.46434399515852</v>
      </c>
      <c r="H34" s="115">
        <f t="shared" si="53"/>
        <v>11.634237790743278</v>
      </c>
      <c r="I34" s="116">
        <f t="shared" si="54"/>
        <v>9.4293707759899063E-4</v>
      </c>
      <c r="J34" s="117">
        <f t="shared" si="55"/>
        <v>11.635180727820877</v>
      </c>
    </row>
    <row r="35" spans="1:10" ht="15">
      <c r="A35" s="113" t="s">
        <v>176</v>
      </c>
      <c r="B35" s="114">
        <v>1</v>
      </c>
      <c r="C35" s="128"/>
      <c r="D35" s="129"/>
      <c r="E35" s="115">
        <f>IFERROR(VLOOKUP("Np-237",$A$4:$J$32,3)*VLOOKUP("Np-237",Doses!$A$1:$O$31,3)*$B35,0)</f>
        <v>164.92626438917981</v>
      </c>
      <c r="F35" s="127">
        <f>IFERROR(VLOOKUP("Np-237",$A$4:$J$32,4)*VLOOKUP("Np-237",Doses!$A$1:$O$31,12)*$B35,0)</f>
        <v>3.0497277400031032E-2</v>
      </c>
      <c r="G35" s="117">
        <f t="shared" ref="G35:G46" si="56">SUM(E35:F35)</f>
        <v>164.95676166657984</v>
      </c>
      <c r="H35" s="115">
        <f t="shared" si="53"/>
        <v>6.1022717823996588</v>
      </c>
      <c r="I35" s="116">
        <f t="shared" si="54"/>
        <v>1.1283992638011493E-3</v>
      </c>
      <c r="J35" s="117">
        <f t="shared" si="55"/>
        <v>6.10340018166346</v>
      </c>
    </row>
    <row r="36" spans="1:10" ht="15">
      <c r="A36" s="113" t="s">
        <v>177</v>
      </c>
      <c r="B36" s="114">
        <v>1</v>
      </c>
      <c r="C36" s="128"/>
      <c r="D36" s="129"/>
      <c r="E36" s="115">
        <f>IFERROR(VLOOKUP("Pa-233",$A$4:$J$32,3)*VLOOKUP("Pa-233",Doses!$A$1:$O$32,3)*$B36,0)</f>
        <v>1.4889604803733429</v>
      </c>
      <c r="F36" s="127">
        <f>IFERROR(VLOOKUP("Pa-233",$A$4:$J$32,4)*VLOOKUP("Pa-233",Doses!$A$1:$O$32,12)*$B36,0)</f>
        <v>0.16894055578617836</v>
      </c>
      <c r="G36" s="117">
        <f t="shared" si="56"/>
        <v>1.6579010361595212</v>
      </c>
      <c r="H36" s="115">
        <f t="shared" si="53"/>
        <v>5.5091537773813745E-2</v>
      </c>
      <c r="I36" s="116">
        <f t="shared" si="54"/>
        <v>6.2508005640886056E-3</v>
      </c>
      <c r="J36" s="117">
        <f t="shared" si="55"/>
        <v>6.1342338337902348E-2</v>
      </c>
    </row>
    <row r="37" spans="1:10" ht="15">
      <c r="A37" s="113" t="s">
        <v>178</v>
      </c>
      <c r="B37" s="114">
        <v>1</v>
      </c>
      <c r="C37" s="128"/>
      <c r="D37" s="129"/>
      <c r="E37" s="115">
        <f>IFERROR(VLOOKUP("U-233",$A$4:$J$32,3)*VLOOKUP("U-233",Doses!$A$1:$O$33,3)*$B37,0)</f>
        <v>78.917988193700992</v>
      </c>
      <c r="F37" s="127">
        <f>IFERROR(VLOOKUP("U-233",$A$4:$J$32,4)*VLOOKUP("U-233",Doses!$A$1:$O$33,12)*$B37,0)</f>
        <v>6.8732311342908025E-4</v>
      </c>
      <c r="G37" s="117">
        <f t="shared" si="56"/>
        <v>78.918675516814417</v>
      </c>
      <c r="H37" s="115">
        <f t="shared" si="53"/>
        <v>2.9199655631669397</v>
      </c>
      <c r="I37" s="116">
        <f t="shared" si="54"/>
        <v>2.5430955196875994E-5</v>
      </c>
      <c r="J37" s="117">
        <f t="shared" si="55"/>
        <v>2.9199909941221365</v>
      </c>
    </row>
    <row r="38" spans="1:10" ht="15">
      <c r="A38" s="113" t="s">
        <v>179</v>
      </c>
      <c r="B38" s="114">
        <v>1</v>
      </c>
      <c r="C38" s="128"/>
      <c r="D38" s="129"/>
      <c r="E38" s="115">
        <f>IFERROR(VLOOKUP("Th-229",$A$4:$J$32,3)*VLOOKUP("Th-229",Doses!$A$1:$O$34,3)*$B38,0)</f>
        <v>769.14211149720302</v>
      </c>
      <c r="F38" s="127">
        <f>IFERROR(VLOOKUP("Th-229",$A$4:$J$32,4)*VLOOKUP("Th-229",Doses!$A$1:$O$34,12)*$B38,0)</f>
        <v>9.2569138982587146E-2</v>
      </c>
      <c r="G38" s="117">
        <f t="shared" si="56"/>
        <v>769.23468063618566</v>
      </c>
      <c r="H38" s="115">
        <f t="shared" si="53"/>
        <v>28.45825812539654</v>
      </c>
      <c r="I38" s="116">
        <f t="shared" si="54"/>
        <v>3.4250581423557278E-3</v>
      </c>
      <c r="J38" s="117">
        <f t="shared" si="55"/>
        <v>28.461683183538899</v>
      </c>
    </row>
    <row r="39" spans="1:10" ht="15">
      <c r="A39" s="113" t="s">
        <v>180</v>
      </c>
      <c r="B39" s="114">
        <v>1</v>
      </c>
      <c r="C39" s="128"/>
      <c r="D39" s="129"/>
      <c r="E39" s="115">
        <f>IFERROR(VLOOKUP("Ra-225",$A$4:$J$32,3)*VLOOKUP("Ra-225",Doses!$A$1:$O$35,3)*$B39,0)</f>
        <v>153.52014890805896</v>
      </c>
      <c r="F39" s="127">
        <f>IFERROR(VLOOKUP("Ra-225",$A$4:$J$32,4)*VLOOKUP("Ra-225",Doses!$A$1:$O$35,12)*$B39,0)</f>
        <v>1.2020645913181529E-2</v>
      </c>
      <c r="G39" s="117">
        <f t="shared" si="56"/>
        <v>153.53216955397212</v>
      </c>
      <c r="H39" s="115">
        <f t="shared" si="53"/>
        <v>5.680245509598187</v>
      </c>
      <c r="I39" s="116">
        <f t="shared" si="54"/>
        <v>4.4476389878771703E-4</v>
      </c>
      <c r="J39" s="117">
        <f t="shared" si="55"/>
        <v>5.6806902734969746</v>
      </c>
    </row>
    <row r="40" spans="1:10" ht="15">
      <c r="A40" s="113" t="s">
        <v>181</v>
      </c>
      <c r="B40" s="114">
        <v>1</v>
      </c>
      <c r="C40" s="128"/>
      <c r="D40" s="129"/>
      <c r="E40" s="115">
        <f>IFERROR(VLOOKUP("Ac-225",$A$4:$J$32,3)*VLOOKUP("Ac-225",Doses!$A$1:$O$36,3)*$B40,0)</f>
        <v>59.496764536657388</v>
      </c>
      <c r="F40" s="127">
        <f>IFERROR(VLOOKUP("Ac-225",$A$4:$J$32,4)*VLOOKUP("Ac-225",Doses!$A$1:$O$36,12)*$B40,0)</f>
        <v>1.6925476063803169E-2</v>
      </c>
      <c r="G40" s="117">
        <f t="shared" si="56"/>
        <v>59.513690012721192</v>
      </c>
      <c r="H40" s="115">
        <f t="shared" si="53"/>
        <v>2.2013802878563258</v>
      </c>
      <c r="I40" s="116">
        <f t="shared" si="54"/>
        <v>6.2624261436071795E-4</v>
      </c>
      <c r="J40" s="117">
        <f t="shared" si="55"/>
        <v>2.2020065304706864</v>
      </c>
    </row>
    <row r="41" spans="1:10" ht="15">
      <c r="A41" s="113" t="s">
        <v>182</v>
      </c>
      <c r="B41" s="114">
        <v>1</v>
      </c>
      <c r="C41" s="128"/>
      <c r="D41" s="129"/>
      <c r="E41" s="115">
        <f>IFERROR(VLOOKUP("Fr-221",$A$4:$J$32,3)*VLOOKUP("Fr-221",Doses!$A$1:$O$37,3)*$B41,0)</f>
        <v>0</v>
      </c>
      <c r="F41" s="127">
        <f>IFERROR(VLOOKUP("Fr-221",$A$4:$J$32,4)*VLOOKUP("Fr-221",Doses!$A$1:$O$37,12)*$B41,0)</f>
        <v>1.814717845836215E-2</v>
      </c>
      <c r="G41" s="117">
        <f t="shared" si="56"/>
        <v>1.814717845836215E-2</v>
      </c>
      <c r="H41" s="115">
        <f t="shared" si="53"/>
        <v>0</v>
      </c>
      <c r="I41" s="116">
        <f t="shared" si="54"/>
        <v>6.7144560295940019E-4</v>
      </c>
      <c r="J41" s="117">
        <f t="shared" si="55"/>
        <v>6.7144560295940019E-4</v>
      </c>
    </row>
    <row r="42" spans="1:10" ht="15">
      <c r="A42" s="113" t="s">
        <v>183</v>
      </c>
      <c r="B42" s="114">
        <v>1</v>
      </c>
      <c r="C42" s="128"/>
      <c r="D42" s="129"/>
      <c r="E42" s="115">
        <f>IFERROR(VLOOKUP("At-217",$A$4:$J$32,3)*VLOOKUP("At-217",Doses!$A$1:$O$38,3)*$B42,0)</f>
        <v>0</v>
      </c>
      <c r="F42" s="127">
        <f>IFERROR(VLOOKUP("At-217",$A$4:$J$32,4)*VLOOKUP("At-217",Doses!$A$1:$O$38,12)*$B42,0)</f>
        <v>1.447467821934748E-4</v>
      </c>
      <c r="G42" s="117">
        <f t="shared" si="56"/>
        <v>1.447467821934748E-4</v>
      </c>
      <c r="H42" s="115">
        <f t="shared" si="53"/>
        <v>0</v>
      </c>
      <c r="I42" s="116">
        <f t="shared" si="54"/>
        <v>5.3556309411585734E-6</v>
      </c>
      <c r="J42" s="117">
        <f t="shared" si="55"/>
        <v>5.3556309411585734E-6</v>
      </c>
    </row>
    <row r="43" spans="1:10" ht="15">
      <c r="A43" s="113" t="s">
        <v>184</v>
      </c>
      <c r="B43" s="118">
        <v>0.99987999999999999</v>
      </c>
      <c r="C43" s="128"/>
      <c r="D43" s="129"/>
      <c r="E43" s="115">
        <f>IFERROR(VLOOKUP("Bi-213",$A$4:$J$32,3)*VLOOKUP("Bi-213",Doses!$A$1:$O$39,3)*$B43,0)</f>
        <v>0.30515403458893192</v>
      </c>
      <c r="F43" s="127">
        <f>IFERROR(VLOOKUP("Bi-213",$A$4:$J$32,4)*VLOOKUP("Bi-213",Doses!$A$1:$O$39,12)*$B43,0)</f>
        <v>8.9029425410493329E-2</v>
      </c>
      <c r="G43" s="117">
        <f t="shared" si="56"/>
        <v>0.39418345999942528</v>
      </c>
      <c r="H43" s="115">
        <f t="shared" si="53"/>
        <v>1.1290699279790492E-2</v>
      </c>
      <c r="I43" s="116">
        <f t="shared" si="54"/>
        <v>3.2940887401882563E-3</v>
      </c>
      <c r="J43" s="117">
        <f t="shared" si="55"/>
        <v>1.4584788019978751E-2</v>
      </c>
    </row>
    <row r="44" spans="1:10" ht="15">
      <c r="A44" s="113" t="s">
        <v>185</v>
      </c>
      <c r="B44" s="114">
        <v>0.97898250799999997</v>
      </c>
      <c r="C44" s="128"/>
      <c r="D44" s="129"/>
      <c r="E44" s="115">
        <f>IFERROR(VLOOKUP("Po-213",$A$4:$J$32,3)*VLOOKUP("Po-213",Doses!$A$1:$O$40,3)*$B44,0)</f>
        <v>0</v>
      </c>
      <c r="F44" s="127">
        <f>IFERROR(VLOOKUP("Po-213",$A$4:$J$32,4)*VLOOKUP("Po-213",Doses!$A$1:$O$40,12)*$B44,0)</f>
        <v>1.7521725032386054E-5</v>
      </c>
      <c r="G44" s="117">
        <f t="shared" si="56"/>
        <v>1.7521725032386054E-5</v>
      </c>
      <c r="H44" s="115">
        <f t="shared" si="53"/>
        <v>0</v>
      </c>
      <c r="I44" s="116">
        <f t="shared" si="54"/>
        <v>6.4830382619828471E-7</v>
      </c>
      <c r="J44" s="117">
        <f t="shared" si="55"/>
        <v>6.4830382619828471E-7</v>
      </c>
    </row>
    <row r="45" spans="1:10" ht="15">
      <c r="A45" s="113" t="s">
        <v>186</v>
      </c>
      <c r="B45" s="114">
        <v>2.0897492E-2</v>
      </c>
      <c r="C45" s="128"/>
      <c r="D45" s="129"/>
      <c r="E45" s="115">
        <f>IFERROR(VLOOKUP("Tl-209",$A$4:$J$32,3)*VLOOKUP("Tl-209",Doses!$A$1:$O$41,3)*$B45,0)</f>
        <v>0</v>
      </c>
      <c r="F45" s="127">
        <f>IFERROR(VLOOKUP("Tl-209",$A$4:$J$32,4)*VLOOKUP("Tl-209",Doses!$A$1:$O$41,12)*$B45,0)</f>
        <v>2.1260624117065006E-2</v>
      </c>
      <c r="G45" s="117">
        <f t="shared" si="56"/>
        <v>2.1260624117065006E-2</v>
      </c>
      <c r="H45" s="115">
        <f t="shared" si="53"/>
        <v>0</v>
      </c>
      <c r="I45" s="116">
        <f t="shared" si="54"/>
        <v>7.8664309233140604E-4</v>
      </c>
      <c r="J45" s="117">
        <f t="shared" si="55"/>
        <v>7.8664309233140604E-4</v>
      </c>
    </row>
    <row r="46" spans="1:10" ht="15">
      <c r="A46" s="113" t="s">
        <v>187</v>
      </c>
      <c r="B46" s="114">
        <v>0.99987999999999999</v>
      </c>
      <c r="C46" s="128"/>
      <c r="D46" s="129"/>
      <c r="E46" s="115">
        <f>IFERROR(VLOOKUP("Pb-209",$A$4:$J$32,3)*VLOOKUP("Pb-209",Doses!$A$1:$O$42,3)*$B46,0)</f>
        <v>8.738501899592141E-2</v>
      </c>
      <c r="F46" s="127">
        <f>IFERROR(VLOOKUP("Pb-209",$A$4:$J$32,4)*VLOOKUP("Pb-209",Doses!$A$1:$O$42,12)*$B46,0)</f>
        <v>6.632160880994456E-3</v>
      </c>
      <c r="G46" s="117">
        <f t="shared" si="56"/>
        <v>9.4017179876915866E-2</v>
      </c>
      <c r="H46" s="115">
        <f t="shared" si="53"/>
        <v>3.2332457028490954E-3</v>
      </c>
      <c r="I46" s="116">
        <f t="shared" si="54"/>
        <v>2.4538995259679511E-4</v>
      </c>
      <c r="J46" s="117">
        <f t="shared" si="55"/>
        <v>3.4786356554458906E-3</v>
      </c>
    </row>
    <row r="47" spans="1:10" ht="15">
      <c r="A47" s="109" t="s">
        <v>17</v>
      </c>
      <c r="B47" s="109" t="s">
        <v>59</v>
      </c>
      <c r="C47" s="128"/>
      <c r="D47" s="130"/>
      <c r="E47" s="119">
        <f>SUM(E48:E49)</f>
        <v>20.962590613951825</v>
      </c>
      <c r="F47" s="126">
        <f>SUM(F48:F49)</f>
        <v>0.2823288095783793</v>
      </c>
      <c r="G47" s="121">
        <f>SUM(G48:G49)</f>
        <v>21.244919423530206</v>
      </c>
      <c r="H47" s="119">
        <f t="shared" si="53"/>
        <v>0.77561585271621836</v>
      </c>
      <c r="I47" s="120">
        <f t="shared" si="54"/>
        <v>1.0446165954400045E-2</v>
      </c>
      <c r="J47" s="121">
        <f t="shared" si="55"/>
        <v>0.78606201867061842</v>
      </c>
    </row>
    <row r="48" spans="1:10" ht="15">
      <c r="A48" s="113" t="s">
        <v>188</v>
      </c>
      <c r="B48" s="114">
        <v>1</v>
      </c>
      <c r="C48" s="128"/>
      <c r="D48" s="129"/>
      <c r="E48" s="115">
        <f>IFERROR(VLOOKUP("Cs-137",$A$4:$J$32,3)*VLOOKUP("Cs-137",Doses!$A$1:$O$40,3)*$B48,0)</f>
        <v>20.962590613951825</v>
      </c>
      <c r="F48" s="127">
        <f>IFERROR(VLOOKUP("Cs-137",$A$4:$J$32,4)*VLOOKUP("Cs-137",Doses!$A$1:$O$40,12)*$B48,0)</f>
        <v>1.7065944115219932E-3</v>
      </c>
      <c r="G48" s="117">
        <f t="shared" ref="G48:G49" si="57">SUM(E48:F48)</f>
        <v>20.964297208363348</v>
      </c>
      <c r="H48" s="115">
        <f t="shared" si="53"/>
        <v>0.77561585271621836</v>
      </c>
      <c r="I48" s="116">
        <f t="shared" si="54"/>
        <v>6.3143993226313818E-5</v>
      </c>
      <c r="J48" s="117">
        <f t="shared" si="55"/>
        <v>0.77567899670944462</v>
      </c>
    </row>
    <row r="49" spans="1:10" ht="15">
      <c r="A49" s="113" t="s">
        <v>189</v>
      </c>
      <c r="B49" s="114">
        <v>0.94399</v>
      </c>
      <c r="C49" s="128"/>
      <c r="D49" s="129"/>
      <c r="E49" s="115">
        <f>IFERROR(VLOOKUP("Ba-137m",$A$4:$J$32,3)*VLOOKUP("Ba-137m",Doses!$A$1:$O$40,3)*$B49,0)</f>
        <v>0</v>
      </c>
      <c r="F49" s="127">
        <f>IFERROR(VLOOKUP("Ba-137m",$A$4:$J$32,4)*VLOOKUP("Ba-137m",Doses!$A$1:$O$40,12)*$B49,0)</f>
        <v>0.28062221516685731</v>
      </c>
      <c r="G49" s="117">
        <f t="shared" si="57"/>
        <v>0.28062221516685731</v>
      </c>
      <c r="H49" s="115">
        <f t="shared" si="53"/>
        <v>0</v>
      </c>
      <c r="I49" s="116">
        <f t="shared" si="54"/>
        <v>1.0383021961173732E-2</v>
      </c>
      <c r="J49" s="117">
        <f t="shared" si="55"/>
        <v>1.0383021961173732E-2</v>
      </c>
    </row>
    <row r="50" spans="1:10" ht="15">
      <c r="A50" s="109" t="s">
        <v>27</v>
      </c>
      <c r="B50" s="109" t="s">
        <v>59</v>
      </c>
      <c r="C50" s="128"/>
      <c r="D50" s="130"/>
      <c r="E50" s="119">
        <f>SUM(E51:E64)</f>
        <v>3371.8341987365802</v>
      </c>
      <c r="F50" s="126">
        <f>SUM(F51:F64)</f>
        <v>0.87795499424790358</v>
      </c>
      <c r="G50" s="121">
        <f>SUM(G51:G64)</f>
        <v>3372.712153730828</v>
      </c>
      <c r="H50" s="119">
        <f t="shared" si="53"/>
        <v>124.75786535325359</v>
      </c>
      <c r="I50" s="120">
        <f t="shared" si="54"/>
        <v>3.2484334787172463E-2</v>
      </c>
      <c r="J50" s="121">
        <f t="shared" si="55"/>
        <v>124.79034968804076</v>
      </c>
    </row>
    <row r="51" spans="1:10" ht="15">
      <c r="A51" s="113" t="s">
        <v>190</v>
      </c>
      <c r="B51" s="114">
        <v>1</v>
      </c>
      <c r="C51" s="128"/>
      <c r="D51" s="129"/>
      <c r="E51" s="115">
        <f>IFERROR(VLOOKUP("Ra-226",$A$4:$J$32,3)*VLOOKUP("Ra-226",Doses!$A$1:$O$40,3)*$B51,0)</f>
        <v>431.58274793430235</v>
      </c>
      <c r="F51" s="127">
        <f>IFERROR(VLOOKUP("Ra-226",$A$4:$J$32,4)*VLOOKUP("Ra-226",Doses!$A$1:$O$40,12)*$B51,0)</f>
        <v>4.8768289535300064E-3</v>
      </c>
      <c r="G51" s="117">
        <f t="shared" ref="G51:G64" si="58">SUM(E51:F51)</f>
        <v>431.58762476325586</v>
      </c>
      <c r="H51" s="115">
        <f t="shared" si="53"/>
        <v>15.968561673569203</v>
      </c>
      <c r="I51" s="116">
        <f t="shared" si="54"/>
        <v>1.8044267128061042E-4</v>
      </c>
      <c r="J51" s="117">
        <f t="shared" si="55"/>
        <v>15.968742116240483</v>
      </c>
    </row>
    <row r="52" spans="1:10" ht="15">
      <c r="A52" s="113" t="s">
        <v>191</v>
      </c>
      <c r="B52" s="114">
        <v>1</v>
      </c>
      <c r="C52" s="128"/>
      <c r="D52" s="129"/>
      <c r="E52" s="115">
        <f>IFERROR(VLOOKUP("Rn-222",$A$4:$J$32,3)*VLOOKUP("Rn-222",Doses!$A$1:$O$40,3)*$B52,0)</f>
        <v>0</v>
      </c>
      <c r="F52" s="127">
        <f>IFERROR(VLOOKUP("Rn-222",$A$4:$J$32,4)*VLOOKUP("Rn-222",Doses!$A$1:$O$40,12)*$B52,0)</f>
        <v>1.9165571831133708E-4</v>
      </c>
      <c r="G52" s="117">
        <f t="shared" si="58"/>
        <v>1.9165571831133708E-4</v>
      </c>
      <c r="H52" s="115">
        <f t="shared" si="53"/>
        <v>0</v>
      </c>
      <c r="I52" s="116">
        <f t="shared" si="54"/>
        <v>7.0912615775194794E-6</v>
      </c>
      <c r="J52" s="117">
        <f t="shared" si="55"/>
        <v>7.0912615775194794E-6</v>
      </c>
    </row>
    <row r="53" spans="1:10" ht="15">
      <c r="A53" s="113" t="s">
        <v>192</v>
      </c>
      <c r="B53" s="114">
        <v>1</v>
      </c>
      <c r="C53" s="128"/>
      <c r="D53" s="129"/>
      <c r="E53" s="115">
        <f>IFERROR(VLOOKUP("Po-218",$A$4:$J$32,3)*VLOOKUP("Po-218",Doses!$A$1:$O$40,3)*$B53,0)</f>
        <v>0</v>
      </c>
      <c r="F53" s="127">
        <f>IFERROR(VLOOKUP("Po-218",$A$4:$J$32,4)*VLOOKUP("Po-218",Doses!$A$1:$O$40,12)*$B53,0)</f>
        <v>1.3827323811337969E-8</v>
      </c>
      <c r="G53" s="117">
        <f t="shared" si="58"/>
        <v>1.3827323811337969E-8</v>
      </c>
      <c r="H53" s="115">
        <f t="shared" si="53"/>
        <v>0</v>
      </c>
      <c r="I53" s="116">
        <f t="shared" si="54"/>
        <v>5.1161098101950535E-10</v>
      </c>
      <c r="J53" s="117">
        <f t="shared" si="55"/>
        <v>5.1161098101950535E-10</v>
      </c>
    </row>
    <row r="54" spans="1:10" ht="15">
      <c r="A54" s="113" t="s">
        <v>194</v>
      </c>
      <c r="B54" s="114">
        <v>2.0000000000000001E-4</v>
      </c>
      <c r="C54" s="128"/>
      <c r="D54" s="129"/>
      <c r="E54" s="115">
        <f>IFERROR(VLOOKUP("At-218",$A$4:$J$32,3)*VLOOKUP("At-218",Doses!$A$1:$O$40,3)*$B54,0)</f>
        <v>0</v>
      </c>
      <c r="F54" s="127">
        <f>IFERROR(VLOOKUP("At-218",$A$4:$J$32,4)*VLOOKUP("At-218",Doses!$A$1:$O$40,12)*$B54,0)</f>
        <v>5.1982420343375818E-8</v>
      </c>
      <c r="G54" s="117">
        <f>SUM(E54:F54)</f>
        <v>5.1982420343375818E-8</v>
      </c>
      <c r="H54" s="115">
        <f t="shared" si="53"/>
        <v>0</v>
      </c>
      <c r="I54" s="116">
        <f t="shared" si="54"/>
        <v>1.9233495527049073E-9</v>
      </c>
      <c r="J54" s="117">
        <f t="shared" si="55"/>
        <v>1.9233495527049073E-9</v>
      </c>
    </row>
    <row r="55" spans="1:10" ht="15">
      <c r="A55" s="113" t="s">
        <v>196</v>
      </c>
      <c r="B55" s="114">
        <v>1.9999999999999999E-7</v>
      </c>
      <c r="C55" s="128"/>
      <c r="D55" s="129"/>
      <c r="E55" s="115">
        <f>IFERROR(VLOOKUP("Rn-218",$A$4:$J$32,3)*VLOOKUP("Rn-218",Doses!$A$1:$O$40,3)*$B55,0)</f>
        <v>0</v>
      </c>
      <c r="F55" s="127">
        <f>IFERROR(VLOOKUP("Rn-218",$A$4:$J$32,4)*VLOOKUP("Rn-218",Doses!$A$1:$O$40,12)*$B55,0)</f>
        <v>7.4601473149144112E-11</v>
      </c>
      <c r="G55" s="117">
        <f>SUM(E55:F55)</f>
        <v>7.4601473149144112E-11</v>
      </c>
      <c r="H55" s="115">
        <f t="shared" si="53"/>
        <v>0</v>
      </c>
      <c r="I55" s="116">
        <f t="shared" si="54"/>
        <v>2.7602545065183349E-12</v>
      </c>
      <c r="J55" s="117">
        <f t="shared" si="55"/>
        <v>2.7602545065183349E-12</v>
      </c>
    </row>
    <row r="56" spans="1:10" ht="15">
      <c r="A56" s="113" t="s">
        <v>193</v>
      </c>
      <c r="B56" s="114">
        <v>0.99980000000000002</v>
      </c>
      <c r="C56" s="128"/>
      <c r="D56" s="129"/>
      <c r="E56" s="115">
        <f>IFERROR(VLOOKUP("Pb-214",$A$4:$J$32,3)*VLOOKUP("Pb-214",Doses!$A$1:$O$40,3)*$B56,0)</f>
        <v>0.21420715700884088</v>
      </c>
      <c r="F56" s="127">
        <f>IFERROR(VLOOKUP("Pb-214",$A$4:$J$32,4)*VLOOKUP("Pb-214",Doses!$A$1:$O$40,12)*$B56,0)</f>
        <v>0.15267301728910068</v>
      </c>
      <c r="G56" s="117">
        <f t="shared" si="58"/>
        <v>0.36688017429794156</v>
      </c>
      <c r="H56" s="115">
        <f t="shared" si="53"/>
        <v>7.9256648093271199E-3</v>
      </c>
      <c r="I56" s="116">
        <f t="shared" si="54"/>
        <v>5.6489016396967309E-3</v>
      </c>
      <c r="J56" s="117">
        <f t="shared" si="55"/>
        <v>1.3574566449023851E-2</v>
      </c>
    </row>
    <row r="57" spans="1:10" ht="15">
      <c r="A57" s="113" t="s">
        <v>195</v>
      </c>
      <c r="B57" s="114">
        <v>0.99999979999999999</v>
      </c>
      <c r="C57" s="128"/>
      <c r="D57" s="129"/>
      <c r="E57" s="115">
        <f>IFERROR(VLOOKUP("Bi-214",$A$4:$J$32,3)*VLOOKUP("Bi-214",Doses!$A$1:$O$40,3)*$B57,0)</f>
        <v>0.1726330646471011</v>
      </c>
      <c r="F57" s="127">
        <f>IFERROR(VLOOKUP("Bi-214",$A$4:$J$32,4)*VLOOKUP("Bi-214",Doses!$A$1:$O$40,12)*$B57,0)</f>
        <v>0.69550154179610191</v>
      </c>
      <c r="G57" s="117">
        <f t="shared" si="58"/>
        <v>0.86813460644320295</v>
      </c>
      <c r="H57" s="115">
        <f t="shared" si="53"/>
        <v>6.3874233919427471E-3</v>
      </c>
      <c r="I57" s="116">
        <f t="shared" si="54"/>
        <v>2.5733557046455798E-2</v>
      </c>
      <c r="J57" s="117">
        <f t="shared" si="55"/>
        <v>3.212098043839854E-2</v>
      </c>
    </row>
    <row r="58" spans="1:10" ht="15">
      <c r="A58" s="113" t="s">
        <v>197</v>
      </c>
      <c r="B58" s="114">
        <v>0.99979000004200003</v>
      </c>
      <c r="C58" s="128"/>
      <c r="D58" s="129"/>
      <c r="E58" s="115">
        <f>IFERROR(VLOOKUP("Po-214",$A$4:$J$32,3)*VLOOKUP("Po-214",Doses!$A$1:$O$40,3)*$B58,0)</f>
        <v>0</v>
      </c>
      <c r="F58" s="127">
        <f>IFERROR(VLOOKUP("Po-214",$A$4:$J$32,4)*VLOOKUP("Po-214",Doses!$A$1:$O$40,12)*$B58,0)</f>
        <v>3.9265510730251051E-5</v>
      </c>
      <c r="G58" s="117">
        <f t="shared" si="58"/>
        <v>3.9265510730251051E-5</v>
      </c>
      <c r="H58" s="115">
        <f t="shared" si="53"/>
        <v>0</v>
      </c>
      <c r="I58" s="116">
        <f t="shared" si="54"/>
        <v>1.4528238970192904E-6</v>
      </c>
      <c r="J58" s="117">
        <f t="shared" si="55"/>
        <v>1.4528238970192904E-6</v>
      </c>
    </row>
    <row r="59" spans="1:10" ht="15">
      <c r="A59" s="113" t="s">
        <v>198</v>
      </c>
      <c r="B59" s="114">
        <v>2.0999995799999999E-4</v>
      </c>
      <c r="C59" s="128"/>
      <c r="D59" s="129"/>
      <c r="E59" s="115">
        <f>IFERROR(VLOOKUP("Tl-210",$A$4:$J$32,3)*VLOOKUP("Tl-210",Doses!$A$1:$O$40,3)*$B59,0)</f>
        <v>0</v>
      </c>
      <c r="F59" s="127">
        <f>IFERROR(VLOOKUP("Tl-210",$A$4:$J$32,4)*VLOOKUP("Tl-210",Doses!$A$1:$O$40,12)*$B59,0)</f>
        <v>2.8178624784011081E-4</v>
      </c>
      <c r="G59" s="117">
        <f t="shared" si="58"/>
        <v>2.8178624784011081E-4</v>
      </c>
      <c r="H59" s="115">
        <f t="shared" si="53"/>
        <v>0</v>
      </c>
      <c r="I59" s="116">
        <f t="shared" si="54"/>
        <v>1.0426091170084111E-5</v>
      </c>
      <c r="J59" s="117">
        <f t="shared" si="55"/>
        <v>1.0426091170084111E-5</v>
      </c>
    </row>
    <row r="60" spans="1:10" ht="15">
      <c r="A60" s="113" t="s">
        <v>199</v>
      </c>
      <c r="B60" s="114">
        <v>1</v>
      </c>
      <c r="C60" s="128"/>
      <c r="D60" s="129"/>
      <c r="E60" s="115">
        <f>IFERROR(VLOOKUP("Pb-210",$A$4:$J$32,3)*VLOOKUP("Pb-210",Doses!$A$1:$O$40,3)*$B60,0)</f>
        <v>1072.791402008123</v>
      </c>
      <c r="F60" s="127">
        <f>IFERROR(VLOOKUP("Pb-210",$A$4:$J$32,4)*VLOOKUP("Pb-210",Doses!$A$1:$O$40,12)*$B60,0)</f>
        <v>3.4642702147680772E-3</v>
      </c>
      <c r="G60" s="117">
        <f t="shared" si="58"/>
        <v>1072.7948662783378</v>
      </c>
      <c r="H60" s="115">
        <f t="shared" si="53"/>
        <v>39.693281874300588</v>
      </c>
      <c r="I60" s="116">
        <f t="shared" si="54"/>
        <v>1.2817799794641899E-4</v>
      </c>
      <c r="J60" s="117">
        <f t="shared" si="55"/>
        <v>39.693410052298539</v>
      </c>
    </row>
    <row r="61" spans="1:10" ht="15">
      <c r="A61" s="113" t="s">
        <v>200</v>
      </c>
      <c r="B61" s="114">
        <v>1</v>
      </c>
      <c r="C61" s="128"/>
      <c r="D61" s="129"/>
      <c r="E61" s="115">
        <f>IFERROR(VLOOKUP("Bi-210",$A$4:$J$32,3)*VLOOKUP("Bi-210",Doses!$A$1:$O$40,3)*$B61,0)</f>
        <v>2.0191907135497718</v>
      </c>
      <c r="F61" s="127">
        <f>IFERROR(VLOOKUP("Bi-210",$A$4:$J$32,4)*VLOOKUP("Bi-210",Doses!$A$1:$O$40,12)*$B61,0)</f>
        <v>2.0921884539801903E-2</v>
      </c>
      <c r="G61" s="117">
        <f t="shared" si="58"/>
        <v>2.0401125980895736</v>
      </c>
      <c r="H61" s="115">
        <f t="shared" ref="H61:H78" si="59">E61/_1_bq</f>
        <v>7.4710056401341637E-2</v>
      </c>
      <c r="I61" s="116">
        <f t="shared" ref="I61:I78" si="60">F61/_1_bq</f>
        <v>7.7410972797267122E-4</v>
      </c>
      <c r="J61" s="117">
        <f t="shared" ref="J61:J78" si="61">G61/_1_bq</f>
        <v>7.5484166129314301E-2</v>
      </c>
    </row>
    <row r="62" spans="1:10" ht="15">
      <c r="A62" s="113" t="s">
        <v>202</v>
      </c>
      <c r="B62" s="114">
        <v>1</v>
      </c>
      <c r="C62" s="128"/>
      <c r="D62" s="129"/>
      <c r="E62" s="115">
        <f>IFERROR(VLOOKUP("Po-210",$A$4:$J$32,3)*VLOOKUP("Po-210",Doses!$A$1:$O$40,3)*$B62,0)</f>
        <v>1865.0540178589492</v>
      </c>
      <c r="F62" s="127">
        <f>IFERROR(VLOOKUP("Po-210",$A$4:$J$32,4)*VLOOKUP("Po-210",Doses!$A$1:$O$40,12)*$B62,0)</f>
        <v>4.601067989432881E-6</v>
      </c>
      <c r="G62" s="117">
        <f>SUM(E62:F62)</f>
        <v>1865.0540224600172</v>
      </c>
      <c r="H62" s="115">
        <f t="shared" si="59"/>
        <v>69.006998660781193</v>
      </c>
      <c r="I62" s="116">
        <f t="shared" si="60"/>
        <v>1.7023951560901678E-7</v>
      </c>
      <c r="J62" s="117">
        <f t="shared" si="61"/>
        <v>69.006998831020709</v>
      </c>
    </row>
    <row r="63" spans="1:10" ht="15">
      <c r="A63" s="113" t="s">
        <v>201</v>
      </c>
      <c r="B63" s="114">
        <v>1.9000000000000001E-8</v>
      </c>
      <c r="C63" s="128"/>
      <c r="D63" s="129"/>
      <c r="E63" s="115">
        <f>IFERROR(VLOOKUP("Hg-206",$A$4:$J$32,3)*VLOOKUP("Hg-206",Doses!$A$1:$O$40,3)*$B63,0)</f>
        <v>0</v>
      </c>
      <c r="F63" s="127">
        <f>IFERROR(VLOOKUP("Hg-206",$A$4:$J$32,4)*VLOOKUP("Hg-206",Doses!$A$1:$O$40,12)*$B63,0)</f>
        <v>1.6743791728878587E-9</v>
      </c>
      <c r="G63" s="117">
        <f t="shared" si="58"/>
        <v>1.6743791728878587E-9</v>
      </c>
      <c r="H63" s="115">
        <f t="shared" si="59"/>
        <v>0</v>
      </c>
      <c r="I63" s="116">
        <f t="shared" si="60"/>
        <v>6.1952029396850838E-11</v>
      </c>
      <c r="J63" s="117">
        <f t="shared" si="61"/>
        <v>6.1952029396850838E-11</v>
      </c>
    </row>
    <row r="64" spans="1:10" ht="15.75" thickBot="1">
      <c r="A64" s="113" t="s">
        <v>203</v>
      </c>
      <c r="B64" s="114">
        <v>1.339E-6</v>
      </c>
      <c r="C64" s="128"/>
      <c r="D64" s="129"/>
      <c r="E64" s="122">
        <f>IFERROR(VLOOKUP("Tl-206",$A$4:$J$32,3)*VLOOKUP("Tl-206",Doses!$A$1:$O$40,3)*$B64,0)</f>
        <v>0</v>
      </c>
      <c r="F64" s="123">
        <f>IFERROR(VLOOKUP("Tl-206",$A$4:$J$32,4)*VLOOKUP("Tl-206",Doses!$A$1:$O$40,12)*$B64,0)</f>
        <v>7.5351005126712479E-8</v>
      </c>
      <c r="G64" s="117">
        <f t="shared" si="58"/>
        <v>7.5351005126712479E-8</v>
      </c>
      <c r="H64" s="115">
        <f t="shared" si="59"/>
        <v>0</v>
      </c>
      <c r="I64" s="116">
        <f t="shared" si="60"/>
        <v>2.7879871896883644E-9</v>
      </c>
      <c r="J64" s="117">
        <f t="shared" si="61"/>
        <v>2.7879871896883644E-9</v>
      </c>
    </row>
    <row r="65" spans="1:10" ht="15">
      <c r="A65" s="109" t="s">
        <v>31</v>
      </c>
      <c r="B65" s="109" t="s">
        <v>59</v>
      </c>
      <c r="C65" s="128"/>
      <c r="D65" s="130"/>
      <c r="E65" s="119">
        <f>SUM(E66:E78)</f>
        <v>2940.2514508022778</v>
      </c>
      <c r="F65" s="126">
        <f t="shared" ref="F65:G65" si="62">SUM(F66:F78)</f>
        <v>0.87307816529437365</v>
      </c>
      <c r="G65" s="121">
        <f t="shared" si="62"/>
        <v>2941.1245289675726</v>
      </c>
      <c r="H65" s="119">
        <f t="shared" si="59"/>
        <v>108.78930367968438</v>
      </c>
      <c r="I65" s="120">
        <f t="shared" si="60"/>
        <v>3.2303892115891859E-2</v>
      </c>
      <c r="J65" s="121">
        <f t="shared" si="61"/>
        <v>108.8216075718003</v>
      </c>
    </row>
    <row r="66" spans="1:10" ht="15">
      <c r="A66" s="113" t="s">
        <v>191</v>
      </c>
      <c r="B66" s="114">
        <v>1</v>
      </c>
      <c r="C66" s="128"/>
      <c r="D66" s="129"/>
      <c r="E66" s="115">
        <f>IFERROR(VLOOKUP("Rn-222",$A$4:$J$32,3)*VLOOKUP("Rn-222",Doses!$A$1:$O$40,3)*$B66,0)</f>
        <v>0</v>
      </c>
      <c r="F66" s="127">
        <f>IFERROR(VLOOKUP("Rn-222",$A$4:$J$32,4)*VLOOKUP("Rn-222",Doses!$A$1:$O$40,12)*$B66,0)</f>
        <v>1.9165571831133708E-4</v>
      </c>
      <c r="G66" s="117">
        <f t="shared" ref="G66:G67" si="63">SUM(E66:F66)</f>
        <v>1.9165571831133708E-4</v>
      </c>
      <c r="H66" s="115">
        <f t="shared" si="59"/>
        <v>0</v>
      </c>
      <c r="I66" s="116">
        <f t="shared" si="60"/>
        <v>7.0912615775194794E-6</v>
      </c>
      <c r="J66" s="117">
        <f t="shared" si="61"/>
        <v>7.0912615775194794E-6</v>
      </c>
    </row>
    <row r="67" spans="1:10" ht="15">
      <c r="A67" s="113" t="s">
        <v>192</v>
      </c>
      <c r="B67" s="114">
        <v>1</v>
      </c>
      <c r="C67" s="128"/>
      <c r="D67" s="129"/>
      <c r="E67" s="115">
        <f>IFERROR(VLOOKUP("Po-218",$A$4:$J$32,3)*VLOOKUP("Po-218",Doses!$A$1:$O$40,3)*$B67,0)</f>
        <v>0</v>
      </c>
      <c r="F67" s="127">
        <f>IFERROR(VLOOKUP("Po-218",$A$4:$J$32,4)*VLOOKUP("Po-218",Doses!$A$1:$O$40,12)*$B67,0)</f>
        <v>1.3827323811337969E-8</v>
      </c>
      <c r="G67" s="117">
        <f t="shared" si="63"/>
        <v>1.3827323811337969E-8</v>
      </c>
      <c r="H67" s="115">
        <f t="shared" si="59"/>
        <v>0</v>
      </c>
      <c r="I67" s="116">
        <f t="shared" si="60"/>
        <v>5.1161098101950535E-10</v>
      </c>
      <c r="J67" s="117">
        <f t="shared" si="61"/>
        <v>5.1161098101950535E-10</v>
      </c>
    </row>
    <row r="68" spans="1:10" ht="15">
      <c r="A68" s="113" t="s">
        <v>194</v>
      </c>
      <c r="B68" s="114">
        <v>2.0000000000000001E-4</v>
      </c>
      <c r="C68" s="128"/>
      <c r="D68" s="129"/>
      <c r="E68" s="115">
        <f>IFERROR(VLOOKUP("At-218",$A$4:$J$32,3)*VLOOKUP("At-218",Doses!$A$1:$O$40,3)*$B68,0)</f>
        <v>0</v>
      </c>
      <c r="F68" s="127">
        <f>IFERROR(VLOOKUP("At-218",$A$4:$J$32,4)*VLOOKUP("At-218",Doses!$A$1:$O$40,12)*$B68,0)</f>
        <v>5.1982420343375818E-8</v>
      </c>
      <c r="G68" s="117">
        <f>SUM(E68:F68)</f>
        <v>5.1982420343375818E-8</v>
      </c>
      <c r="H68" s="115">
        <f t="shared" si="59"/>
        <v>0</v>
      </c>
      <c r="I68" s="116">
        <f t="shared" si="60"/>
        <v>1.9233495527049073E-9</v>
      </c>
      <c r="J68" s="117">
        <f t="shared" si="61"/>
        <v>1.9233495527049073E-9</v>
      </c>
    </row>
    <row r="69" spans="1:10" ht="15">
      <c r="A69" s="113" t="s">
        <v>196</v>
      </c>
      <c r="B69" s="114">
        <v>1.9999999999999999E-7</v>
      </c>
      <c r="C69" s="128"/>
      <c r="D69" s="129"/>
      <c r="E69" s="115">
        <f>IFERROR(VLOOKUP("Rn-218",$A$4:$J$32,3)*VLOOKUP("Rn-218",Doses!$A$1:$O$40,3)*$B69,0)</f>
        <v>0</v>
      </c>
      <c r="F69" s="127">
        <f>IFERROR(VLOOKUP("Rn-218",$A$4:$J$32,4)*VLOOKUP("Rn-218",Doses!$A$1:$O$40,12)*$B69,0)</f>
        <v>7.4601473149144112E-11</v>
      </c>
      <c r="G69" s="117">
        <f>SUM(E69:F69)</f>
        <v>7.4601473149144112E-11</v>
      </c>
      <c r="H69" s="115">
        <f t="shared" si="59"/>
        <v>0</v>
      </c>
      <c r="I69" s="116">
        <f t="shared" si="60"/>
        <v>2.7602545065183349E-12</v>
      </c>
      <c r="J69" s="117">
        <f t="shared" si="61"/>
        <v>2.7602545065183349E-12</v>
      </c>
    </row>
    <row r="70" spans="1:10" ht="15">
      <c r="A70" s="113" t="s">
        <v>193</v>
      </c>
      <c r="B70" s="114">
        <v>0.99980000000000002</v>
      </c>
      <c r="C70" s="128"/>
      <c r="D70" s="129"/>
      <c r="E70" s="115">
        <f>IFERROR(VLOOKUP("Pb-214",$A$4:$J$32,3)*VLOOKUP("Pb-214",Doses!$A$1:$O$40,3)*$B70,0)</f>
        <v>0.21420715700884088</v>
      </c>
      <c r="F70" s="127">
        <f>IFERROR(VLOOKUP("Pb-214",$A$4:$J$32,4)*VLOOKUP("Pb-214",Doses!$A$1:$O$40,12)*$B70,0)</f>
        <v>0.15267301728910068</v>
      </c>
      <c r="G70" s="117">
        <f t="shared" ref="G70:G75" si="64">SUM(E70:F70)</f>
        <v>0.36688017429794156</v>
      </c>
      <c r="H70" s="115">
        <f t="shared" si="59"/>
        <v>7.9256648093271199E-3</v>
      </c>
      <c r="I70" s="116">
        <f t="shared" si="60"/>
        <v>5.6489016396967309E-3</v>
      </c>
      <c r="J70" s="117">
        <f t="shared" si="61"/>
        <v>1.3574566449023851E-2</v>
      </c>
    </row>
    <row r="71" spans="1:10" ht="15">
      <c r="A71" s="113" t="s">
        <v>195</v>
      </c>
      <c r="B71" s="114">
        <v>0.99999979999999999</v>
      </c>
      <c r="C71" s="128"/>
      <c r="D71" s="129"/>
      <c r="E71" s="115">
        <f>IFERROR(VLOOKUP("Bi-214",$A$4:$J$32,3)*VLOOKUP("Bi-214",Doses!$A$1:$O$40,3)*$B71,0)</f>
        <v>0.1726330646471011</v>
      </c>
      <c r="F71" s="127">
        <f>IFERROR(VLOOKUP("Bi-214",$A$4:$J$32,4)*VLOOKUP("Bi-214",Doses!$A$1:$O$40,12)*$B71,0)</f>
        <v>0.69550154179610191</v>
      </c>
      <c r="G71" s="117">
        <f t="shared" si="64"/>
        <v>0.86813460644320295</v>
      </c>
      <c r="H71" s="115">
        <f t="shared" si="59"/>
        <v>6.3874233919427471E-3</v>
      </c>
      <c r="I71" s="116">
        <f t="shared" si="60"/>
        <v>2.5733557046455798E-2</v>
      </c>
      <c r="J71" s="117">
        <f t="shared" si="61"/>
        <v>3.212098043839854E-2</v>
      </c>
    </row>
    <row r="72" spans="1:10" ht="15">
      <c r="A72" s="113" t="s">
        <v>197</v>
      </c>
      <c r="B72" s="114">
        <v>0.99979000004200003</v>
      </c>
      <c r="C72" s="128"/>
      <c r="D72" s="129"/>
      <c r="E72" s="115">
        <f>IFERROR(VLOOKUP("Po-214",$A$4:$J$32,3)*VLOOKUP("Po-214",Doses!$A$1:$O$40,3)*$B72,0)</f>
        <v>0</v>
      </c>
      <c r="F72" s="127">
        <f>IFERROR(VLOOKUP("Po-214",$A$4:$J$32,4)*VLOOKUP("Po-214",Doses!$A$1:$O$40,12)*$B72,0)</f>
        <v>3.9265510730251051E-5</v>
      </c>
      <c r="G72" s="117">
        <f t="shared" si="64"/>
        <v>3.9265510730251051E-5</v>
      </c>
      <c r="H72" s="115">
        <f t="shared" si="59"/>
        <v>0</v>
      </c>
      <c r="I72" s="116">
        <f t="shared" si="60"/>
        <v>1.4528238970192904E-6</v>
      </c>
      <c r="J72" s="117">
        <f t="shared" si="61"/>
        <v>1.4528238970192904E-6</v>
      </c>
    </row>
    <row r="73" spans="1:10" ht="15">
      <c r="A73" s="113" t="s">
        <v>198</v>
      </c>
      <c r="B73" s="114">
        <v>2.0999995799999999E-4</v>
      </c>
      <c r="C73" s="128"/>
      <c r="D73" s="129"/>
      <c r="E73" s="115">
        <f>IFERROR(VLOOKUP("Tl-210",$A$4:$J$32,3)*VLOOKUP("Tl-210",Doses!$A$1:$O$40,3)*$B73,0)</f>
        <v>0</v>
      </c>
      <c r="F73" s="127">
        <f>IFERROR(VLOOKUP("Tl-210",$A$4:$J$32,4)*VLOOKUP("Tl-210",Doses!$A$1:$O$40,12)*$B73,0)</f>
        <v>2.8178624784011081E-4</v>
      </c>
      <c r="G73" s="117">
        <f t="shared" si="64"/>
        <v>2.8178624784011081E-4</v>
      </c>
      <c r="H73" s="115">
        <f t="shared" si="59"/>
        <v>0</v>
      </c>
      <c r="I73" s="116">
        <f t="shared" si="60"/>
        <v>1.0426091170084111E-5</v>
      </c>
      <c r="J73" s="117">
        <f t="shared" si="61"/>
        <v>1.0426091170084111E-5</v>
      </c>
    </row>
    <row r="74" spans="1:10" ht="15">
      <c r="A74" s="113" t="s">
        <v>199</v>
      </c>
      <c r="B74" s="114">
        <v>1</v>
      </c>
      <c r="C74" s="128"/>
      <c r="D74" s="129"/>
      <c r="E74" s="115">
        <f>IFERROR(VLOOKUP("Pb-210",$A$4:$J$32,3)*VLOOKUP("Pb-210",Doses!$A$1:$O$40,3)*$B74,0)</f>
        <v>1072.791402008123</v>
      </c>
      <c r="F74" s="127">
        <f>IFERROR(VLOOKUP("Pb-210",$A$4:$J$32,4)*VLOOKUP("Pb-210",Doses!$A$1:$O$40,12)*$B74,0)</f>
        <v>3.4642702147680772E-3</v>
      </c>
      <c r="G74" s="117">
        <f t="shared" si="64"/>
        <v>1072.7948662783378</v>
      </c>
      <c r="H74" s="115">
        <f t="shared" si="59"/>
        <v>39.693281874300588</v>
      </c>
      <c r="I74" s="116">
        <f t="shared" si="60"/>
        <v>1.2817799794641899E-4</v>
      </c>
      <c r="J74" s="117">
        <f t="shared" si="61"/>
        <v>39.693410052298539</v>
      </c>
    </row>
    <row r="75" spans="1:10" ht="15">
      <c r="A75" s="113" t="s">
        <v>200</v>
      </c>
      <c r="B75" s="114">
        <v>1</v>
      </c>
      <c r="C75" s="128"/>
      <c r="D75" s="129"/>
      <c r="E75" s="115">
        <f>IFERROR(VLOOKUP("Bi-210",$A$4:$J$32,3)*VLOOKUP("Bi-210",Doses!$A$1:$O$40,3)*$B75,0)</f>
        <v>2.0191907135497718</v>
      </c>
      <c r="F75" s="127">
        <f>IFERROR(VLOOKUP("Bi-210",$A$4:$J$32,4)*VLOOKUP("Bi-210",Doses!$A$1:$O$40,12)*$B75,0)</f>
        <v>2.0921884539801903E-2</v>
      </c>
      <c r="G75" s="117">
        <f t="shared" si="64"/>
        <v>2.0401125980895736</v>
      </c>
      <c r="H75" s="115">
        <f t="shared" si="59"/>
        <v>7.4710056401341637E-2</v>
      </c>
      <c r="I75" s="116">
        <f t="shared" si="60"/>
        <v>7.7410972797267122E-4</v>
      </c>
      <c r="J75" s="117">
        <f t="shared" si="61"/>
        <v>7.5484166129314301E-2</v>
      </c>
    </row>
    <row r="76" spans="1:10" ht="15">
      <c r="A76" s="113" t="s">
        <v>202</v>
      </c>
      <c r="B76" s="114">
        <v>1</v>
      </c>
      <c r="C76" s="128"/>
      <c r="D76" s="129"/>
      <c r="E76" s="115">
        <f>IFERROR(VLOOKUP("Po-210",$A$4:$J$32,3)*VLOOKUP("Po-210",Doses!$A$1:$O$40,3)*$B76,0)</f>
        <v>1865.0540178589492</v>
      </c>
      <c r="F76" s="127">
        <f>IFERROR(VLOOKUP("Po-210",$A$4:$J$32,4)*VLOOKUP("Po-210",Doses!$A$1:$O$40,12)*$B76,0)</f>
        <v>4.601067989432881E-6</v>
      </c>
      <c r="G76" s="117">
        <f>SUM(E76:F76)</f>
        <v>1865.0540224600172</v>
      </c>
      <c r="H76" s="115">
        <f t="shared" si="59"/>
        <v>69.006998660781193</v>
      </c>
      <c r="I76" s="116">
        <f t="shared" si="60"/>
        <v>1.7023951560901678E-7</v>
      </c>
      <c r="J76" s="117">
        <f t="shared" si="61"/>
        <v>69.006998831020709</v>
      </c>
    </row>
    <row r="77" spans="1:10" ht="15">
      <c r="A77" s="113" t="s">
        <v>201</v>
      </c>
      <c r="B77" s="114">
        <v>1.9000000000000001E-8</v>
      </c>
      <c r="C77" s="128"/>
      <c r="D77" s="129"/>
      <c r="E77" s="115">
        <f>IFERROR(VLOOKUP("Hg-206",$A$4:$J$32,3)*VLOOKUP("Hg-206",Doses!$A$1:$O$40,3)*$B77,0)</f>
        <v>0</v>
      </c>
      <c r="F77" s="127">
        <f>IFERROR(VLOOKUP("Hg-206",$A$4:$J$32,4)*VLOOKUP("Hg-206",Doses!$A$1:$O$40,12)*$B77,0)</f>
        <v>1.6743791728878587E-9</v>
      </c>
      <c r="G77" s="117">
        <f t="shared" ref="G77:G78" si="65">SUM(E77:F77)</f>
        <v>1.6743791728878587E-9</v>
      </c>
      <c r="H77" s="115">
        <f t="shared" si="59"/>
        <v>0</v>
      </c>
      <c r="I77" s="116">
        <f t="shared" si="60"/>
        <v>6.1952029396850838E-11</v>
      </c>
      <c r="J77" s="117">
        <f t="shared" si="61"/>
        <v>6.1952029396850838E-11</v>
      </c>
    </row>
    <row r="78" spans="1:10" ht="15.75" thickBot="1">
      <c r="A78" s="113" t="s">
        <v>203</v>
      </c>
      <c r="B78" s="114">
        <v>1.339E-6</v>
      </c>
      <c r="C78" s="128"/>
      <c r="D78" s="129"/>
      <c r="E78" s="122">
        <f>IFERROR(VLOOKUP("Tl-206",$A$4:$J$32,3)*VLOOKUP("Tl-206",Doses!$A$1:$O$40,3)*$B78,0)</f>
        <v>0</v>
      </c>
      <c r="F78" s="123">
        <f>IFERROR(VLOOKUP("Tl-206",$A$4:$J$32,4)*VLOOKUP("Tl-206",Doses!$A$1:$O$40,12)*$B78,0)</f>
        <v>7.5351005126712479E-8</v>
      </c>
      <c r="G78" s="117">
        <f t="shared" si="65"/>
        <v>7.5351005126712479E-8</v>
      </c>
      <c r="H78" s="115">
        <f t="shared" si="59"/>
        <v>0</v>
      </c>
      <c r="I78" s="116">
        <f t="shared" si="60"/>
        <v>2.7879871896883644E-9</v>
      </c>
      <c r="J78" s="117">
        <f t="shared" si="61"/>
        <v>2.7879871896883644E-9</v>
      </c>
    </row>
  </sheetData>
  <sheetProtection algorithmName="SHA-512" hashValue="eBSqFyO5JHUAvVaXEUa9xrJNUJllr+myYcotJ7AXRG7B7svKnpBwic70aO7j6BbHD4c2ohny2mjXPE+4P1XfbQ==" saltValue="1BwXrYtzeQ2k+8iODlCs7A==" spinCount="100000" sheet="1" formatCells="0" formatColumns="0" formatRows="0" insertColumns="0" insertRows="0" autoFilter="0"/>
  <autoFilter ref="A2:J78" xr:uid="{00000000-0009-0000-0000-000014000000}"/>
  <mergeCells count="3">
    <mergeCell ref="E1:G1"/>
    <mergeCell ref="H1:J1"/>
    <mergeCell ref="C1:D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7" tint="0.79998168889431442"/>
  </sheetPr>
  <dimension ref="A1:J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4" width="12" style="22" customWidth="1"/>
    <col min="5" max="5" width="12.140625" style="22" bestFit="1" customWidth="1"/>
    <col min="6" max="6" width="12.7109375" style="22" bestFit="1" customWidth="1"/>
    <col min="7" max="7" width="11.85546875" style="22" bestFit="1" customWidth="1"/>
    <col min="8" max="8" width="12.140625" style="22" bestFit="1" customWidth="1"/>
    <col min="9" max="9" width="12.7109375" style="22" bestFit="1" customWidth="1"/>
    <col min="10" max="10" width="11.85546875" style="22" bestFit="1" customWidth="1"/>
  </cols>
  <sheetData>
    <row r="1" spans="1:10" ht="13.5" thickBot="1">
      <c r="C1" s="153" t="s">
        <v>274</v>
      </c>
      <c r="D1" s="154"/>
      <c r="E1" s="149" t="s">
        <v>61</v>
      </c>
      <c r="F1" s="149"/>
      <c r="G1" s="150"/>
      <c r="H1" s="149" t="s">
        <v>138</v>
      </c>
      <c r="I1" s="149"/>
      <c r="J1" s="150"/>
    </row>
    <row r="2" spans="1:10">
      <c r="A2" s="11" t="s">
        <v>0</v>
      </c>
      <c r="B2" s="11" t="s">
        <v>43</v>
      </c>
      <c r="C2" s="96" t="s">
        <v>269</v>
      </c>
      <c r="D2" s="97" t="s">
        <v>270</v>
      </c>
      <c r="E2" s="35" t="s">
        <v>240</v>
      </c>
      <c r="F2" s="36" t="s">
        <v>241</v>
      </c>
      <c r="G2" s="37" t="s">
        <v>242</v>
      </c>
      <c r="H2" s="36" t="s">
        <v>240</v>
      </c>
      <c r="I2" s="36" t="s">
        <v>241</v>
      </c>
      <c r="J2" s="38" t="s">
        <v>242</v>
      </c>
    </row>
    <row r="3" spans="1:10" ht="13.5" thickBot="1">
      <c r="B3" s="26" t="s">
        <v>44</v>
      </c>
      <c r="C3" s="98" t="s">
        <v>265</v>
      </c>
      <c r="D3" s="99" t="s">
        <v>265</v>
      </c>
      <c r="E3" s="105" t="s">
        <v>266</v>
      </c>
      <c r="F3" s="106" t="s">
        <v>266</v>
      </c>
      <c r="G3" s="107" t="s">
        <v>266</v>
      </c>
      <c r="H3" s="105" t="s">
        <v>266</v>
      </c>
      <c r="I3" s="106" t="s">
        <v>266</v>
      </c>
      <c r="J3" s="107" t="s">
        <v>266</v>
      </c>
    </row>
    <row r="4" spans="1:10">
      <c r="A4" s="87" t="s">
        <v>23</v>
      </c>
      <c r="B4" s="12" t="s">
        <v>59</v>
      </c>
      <c r="C4" s="132">
        <f t="shared" ref="C4:C5" si="0">s_C*s_IRAiw*s_EFiw*s_ETiw*(1/24)*s_Fin*s_Fi</f>
        <v>6875</v>
      </c>
      <c r="D4" s="132">
        <f t="shared" ref="D4:D5" si="1">s_C*s_EFres*(1/365)*s_ETres*(1/24)*s_GSFa*s_Fin*s_Fi</f>
        <v>0.3139269406392694</v>
      </c>
      <c r="E4" s="2">
        <f>C4*Doses!H2</f>
        <v>233.51625000000001</v>
      </c>
      <c r="F4" s="3">
        <f>D4*Doses!J2</f>
        <v>2.0746780397260273E-5</v>
      </c>
      <c r="G4" s="108">
        <f>SUM((C4*Doses!H2),(D4*Doses!J2))</f>
        <v>233.51627074678041</v>
      </c>
      <c r="H4" s="3">
        <f t="shared" ref="H4:J4" si="2">IFERROR(E4/_1_bq,".")</f>
        <v>8.6401012500000096</v>
      </c>
      <c r="I4" s="3">
        <f t="shared" si="2"/>
        <v>7.6763087469863091E-7</v>
      </c>
      <c r="J4" s="4">
        <f t="shared" si="2"/>
        <v>8.640102017630884</v>
      </c>
    </row>
    <row r="5" spans="1:10">
      <c r="A5" s="88" t="s">
        <v>14</v>
      </c>
      <c r="B5" s="12" t="s">
        <v>44</v>
      </c>
      <c r="C5" s="132">
        <f t="shared" si="0"/>
        <v>6875</v>
      </c>
      <c r="D5" s="132">
        <f t="shared" si="1"/>
        <v>0.3139269406392694</v>
      </c>
      <c r="E5" s="2">
        <f>C5*Doses!H3</f>
        <v>2495.4187500000003</v>
      </c>
      <c r="F5" s="3">
        <f>D5*Doses!J3</f>
        <v>2.4632219835616437E-5</v>
      </c>
      <c r="G5" s="108">
        <f>SUM((C5*Doses!H3),(D5*Doses!J3))</f>
        <v>2495.41877463222</v>
      </c>
      <c r="H5" s="3">
        <f t="shared" ref="H5:J5" si="3">IFERROR(E5/_1_bq,".")</f>
        <v>92.330493750000102</v>
      </c>
      <c r="I5" s="3">
        <f t="shared" si="3"/>
        <v>9.1139213391780913E-7</v>
      </c>
      <c r="J5" s="4">
        <f t="shared" si="3"/>
        <v>92.330494661392237</v>
      </c>
    </row>
    <row r="6" spans="1:10">
      <c r="A6" s="87" t="s">
        <v>15</v>
      </c>
      <c r="B6" s="12" t="s">
        <v>59</v>
      </c>
      <c r="C6" s="132">
        <f t="shared" ref="C6:C8" si="4">s_C*s_IRAiw*s_EFiw*s_ETiw*(1/24)*s_Fin*s_Fi</f>
        <v>6875</v>
      </c>
      <c r="D6" s="132">
        <f t="shared" ref="D6:D8" si="5">s_C*s_EFres*(1/365)*s_ETres*(1/24)*s_GSFa*s_Fin*s_Fi</f>
        <v>0.3139269406392694</v>
      </c>
      <c r="E6" s="2">
        <f>C6*Doses!H4</f>
        <v>0</v>
      </c>
      <c r="F6" s="3">
        <f>D6*Doses!J4</f>
        <v>3.8854394383561645E-7</v>
      </c>
      <c r="G6" s="108">
        <f>SUM((C6*Doses!H4),(D6*Doses!J4))</f>
        <v>3.8854394383561645E-7</v>
      </c>
      <c r="H6" s="3">
        <f t="shared" ref="H6:J7" si="6">IFERROR(E6/_1_bq,".")</f>
        <v>0</v>
      </c>
      <c r="I6" s="3">
        <f t="shared" si="6"/>
        <v>1.4376125921917822E-8</v>
      </c>
      <c r="J6" s="4">
        <f t="shared" si="6"/>
        <v>1.4376125921917822E-8</v>
      </c>
    </row>
    <row r="7" spans="1:10">
      <c r="A7" s="87" t="s">
        <v>16</v>
      </c>
      <c r="B7" s="89" t="s">
        <v>59</v>
      </c>
      <c r="C7" s="132">
        <f t="shared" si="4"/>
        <v>6875</v>
      </c>
      <c r="D7" s="132">
        <f t="shared" si="5"/>
        <v>0.3139269406392694</v>
      </c>
      <c r="E7" s="2">
        <f>C7*Doses!H5</f>
        <v>0</v>
      </c>
      <c r="F7" s="3">
        <f>D7*Doses!J5</f>
        <v>3.5921987260273976E-8</v>
      </c>
      <c r="G7" s="108">
        <f>SUM((C7*Doses!H5),(D7*Doses!J5))</f>
        <v>3.5921987260273976E-8</v>
      </c>
      <c r="H7" s="3">
        <f t="shared" si="6"/>
        <v>0</v>
      </c>
      <c r="I7" s="3">
        <f t="shared" si="6"/>
        <v>1.3291135286301384E-9</v>
      </c>
      <c r="J7" s="4">
        <f t="shared" si="6"/>
        <v>1.3291135286301384E-9</v>
      </c>
    </row>
    <row r="8" spans="1:10">
      <c r="A8" s="87" t="s">
        <v>18</v>
      </c>
      <c r="B8" s="12" t="s">
        <v>59</v>
      </c>
      <c r="C8" s="132">
        <f t="shared" si="4"/>
        <v>6875</v>
      </c>
      <c r="D8" s="132">
        <f t="shared" si="5"/>
        <v>0.3139269406392694</v>
      </c>
      <c r="E8" s="2">
        <f>C8*Doses!H6</f>
        <v>0</v>
      </c>
      <c r="F8" s="3">
        <f>D8*Doses!J6</f>
        <v>9.8602189520547953E-4</v>
      </c>
      <c r="G8" s="108">
        <f>SUM((C8*Doses!H6),(D8*Doses!J6))</f>
        <v>9.8602189520547953E-4</v>
      </c>
      <c r="H8" s="3">
        <f t="shared" ref="H8:J11" si="7">IFERROR(E8/_1_bq,".")</f>
        <v>0</v>
      </c>
      <c r="I8" s="3">
        <f t="shared" si="7"/>
        <v>3.6482810122602777E-5</v>
      </c>
      <c r="J8" s="4">
        <f t="shared" si="7"/>
        <v>3.6482810122602777E-5</v>
      </c>
    </row>
    <row r="9" spans="1:10">
      <c r="A9" s="87" t="s">
        <v>19</v>
      </c>
      <c r="B9" s="90" t="s">
        <v>59</v>
      </c>
      <c r="C9" s="132">
        <f t="shared" ref="C9:C11" si="8">s_C*s_IRAiw*s_EFiw*s_ETiw*(1/24)*s_Fin*s_Fi</f>
        <v>6875</v>
      </c>
      <c r="D9" s="132">
        <f t="shared" ref="D9:D11" si="9">s_C*s_EFres*(1/365)*s_ETres*(1/24)*s_GSFa*s_Fin*s_Fi</f>
        <v>0.3139269406392694</v>
      </c>
      <c r="E9" s="2">
        <f>C9*Doses!H7</f>
        <v>3.7138750000000003</v>
      </c>
      <c r="F9" s="3">
        <f>D9*Doses!J7</f>
        <v>9.4570129726027396E-6</v>
      </c>
      <c r="G9" s="108">
        <f>SUM((C9*Doses!H7),(D9*Doses!J7))</f>
        <v>3.713884457012973</v>
      </c>
      <c r="H9" s="3">
        <f t="shared" si="7"/>
        <v>0.13741337500000014</v>
      </c>
      <c r="I9" s="3">
        <f t="shared" si="7"/>
        <v>3.4990947998630174E-7</v>
      </c>
      <c r="J9" s="4">
        <f t="shared" si="7"/>
        <v>0.13741372490948014</v>
      </c>
    </row>
    <row r="10" spans="1:10">
      <c r="A10" s="87" t="s">
        <v>20</v>
      </c>
      <c r="B10" s="12" t="s">
        <v>59</v>
      </c>
      <c r="C10" s="132">
        <f t="shared" si="8"/>
        <v>6875</v>
      </c>
      <c r="D10" s="132">
        <f t="shared" si="9"/>
        <v>0.3139269406392694</v>
      </c>
      <c r="E10" s="2">
        <f>C10*Doses!H8</f>
        <v>0.90303124999999995</v>
      </c>
      <c r="F10" s="3">
        <f>D10*Doses!J8</f>
        <v>2.1773122890410959E-4</v>
      </c>
      <c r="G10" s="108">
        <f>SUM((C10*Doses!H8),(D10*Doses!J8))</f>
        <v>0.90324898122890407</v>
      </c>
      <c r="H10" s="3">
        <f t="shared" si="7"/>
        <v>3.3412156250000033E-2</v>
      </c>
      <c r="I10" s="3">
        <f t="shared" si="7"/>
        <v>8.056055469452064E-6</v>
      </c>
      <c r="J10" s="4">
        <f t="shared" si="7"/>
        <v>3.3420212305469488E-2</v>
      </c>
    </row>
    <row r="11" spans="1:10">
      <c r="A11" s="87" t="s">
        <v>21</v>
      </c>
      <c r="B11" s="90" t="s">
        <v>59</v>
      </c>
      <c r="C11" s="132">
        <f t="shared" si="8"/>
        <v>6875</v>
      </c>
      <c r="D11" s="132">
        <f t="shared" si="9"/>
        <v>0.3139269406392694</v>
      </c>
      <c r="E11" s="2">
        <f>C11*Doses!H9</f>
        <v>0.25162499999999999</v>
      </c>
      <c r="F11" s="3">
        <f>D11*Doses!J9</f>
        <v>2.6061768308219178E-3</v>
      </c>
      <c r="G11" s="108">
        <f>SUM((C11*Doses!H9),(D11*Doses!J9))</f>
        <v>0.25423117683082191</v>
      </c>
      <c r="H11" s="3">
        <f t="shared" si="7"/>
        <v>9.3101250000000094E-3</v>
      </c>
      <c r="I11" s="3">
        <f t="shared" si="7"/>
        <v>9.642854274041105E-5</v>
      </c>
      <c r="J11" s="4">
        <f t="shared" si="7"/>
        <v>9.4065535427404201E-3</v>
      </c>
    </row>
    <row r="12" spans="1:10">
      <c r="A12" s="88" t="s">
        <v>17</v>
      </c>
      <c r="B12" s="12" t="s">
        <v>44</v>
      </c>
      <c r="C12" s="132">
        <f t="shared" ref="C12" si="10">s_C*s_IRAiw*s_EFiw*s_ETiw*(1/24)*s_Fin*s_Fi</f>
        <v>6875</v>
      </c>
      <c r="D12" s="132">
        <f t="shared" ref="D12" si="11">s_C*s_EFres*(1/365)*s_ETres*(1/24)*s_GSFa*s_Fin*s_Fi</f>
        <v>0.3139269406392694</v>
      </c>
      <c r="E12" s="2">
        <f>C12*Doses!H10</f>
        <v>1.0607437499999999</v>
      </c>
      <c r="F12" s="3">
        <f>D12*Doses!J10</f>
        <v>3.4455783698630134E-6</v>
      </c>
      <c r="G12" s="108">
        <f>SUM((C12*Doses!H10),(D12*Doses!J10))</f>
        <v>1.0607471955783698</v>
      </c>
      <c r="H12" s="3">
        <f t="shared" ref="H12:J12" si="12">IFERROR(E12/_1_bq,".")</f>
        <v>3.9247518750000036E-2</v>
      </c>
      <c r="I12" s="3">
        <f t="shared" si="12"/>
        <v>1.2748639968493162E-7</v>
      </c>
      <c r="J12" s="4">
        <f t="shared" si="12"/>
        <v>3.9247646236399723E-2</v>
      </c>
    </row>
    <row r="13" spans="1:10">
      <c r="A13" s="87" t="s">
        <v>24</v>
      </c>
      <c r="B13" s="12" t="s">
        <v>59</v>
      </c>
      <c r="C13" s="132">
        <f t="shared" ref="C13" si="13">s_C*s_IRAiw*s_EFiw*s_ETiw*(1/24)*s_Fin*s_Fi</f>
        <v>6875</v>
      </c>
      <c r="D13" s="132">
        <f t="shared" ref="D13" si="14">s_C*s_EFres*(1/365)*s_ETres*(1/24)*s_GSFa*s_Fin*s_Fi</f>
        <v>0.3139269406392694</v>
      </c>
      <c r="E13" s="2">
        <f>C13*Doses!H11</f>
        <v>0</v>
      </c>
      <c r="F13" s="3">
        <f>D13*Doses!J11</f>
        <v>4.581886130136986E-5</v>
      </c>
      <c r="G13" s="108">
        <f>SUM((C13*Doses!H11),(D13*Doses!J11))</f>
        <v>4.581886130136986E-5</v>
      </c>
      <c r="H13" s="3">
        <f t="shared" ref="H13:J13" si="15">IFERROR(E13/_1_bq,".")</f>
        <v>0</v>
      </c>
      <c r="I13" s="3">
        <f t="shared" si="15"/>
        <v>1.6952978681506865E-6</v>
      </c>
      <c r="J13" s="4">
        <f t="shared" si="15"/>
        <v>1.6952978681506865E-6</v>
      </c>
    </row>
    <row r="14" spans="1:10">
      <c r="A14" s="87" t="s">
        <v>22</v>
      </c>
      <c r="B14" s="89" t="s">
        <v>59</v>
      </c>
      <c r="C14" s="132">
        <f t="shared" ref="C14" si="16">s_C*s_IRAiw*s_EFiw*s_ETiw*(1/24)*s_Fin*s_Fi</f>
        <v>6875</v>
      </c>
      <c r="D14" s="132">
        <f t="shared" ref="D14" si="17">s_C*s_EFres*(1/365)*s_ETres*(1/24)*s_GSFa*s_Fin*s_Fi</f>
        <v>0.3139269406392694</v>
      </c>
      <c r="E14" s="2">
        <f>C14*Doses!H12</f>
        <v>0</v>
      </c>
      <c r="F14" s="3">
        <f>D14*Doses!J12</f>
        <v>2.0380229506849313E-4</v>
      </c>
      <c r="G14" s="108">
        <f>SUM((C14*Doses!H12),(D14*Doses!J12))</f>
        <v>2.0380229506849313E-4</v>
      </c>
      <c r="H14" s="3">
        <f t="shared" ref="H14:J14" si="18">IFERROR(E14/_1_bq,".")</f>
        <v>0</v>
      </c>
      <c r="I14" s="3">
        <f t="shared" si="18"/>
        <v>7.5406849175342532E-6</v>
      </c>
      <c r="J14" s="4">
        <f t="shared" si="18"/>
        <v>7.5406849175342532E-6</v>
      </c>
    </row>
    <row r="15" spans="1:10">
      <c r="A15" s="87" t="s">
        <v>28</v>
      </c>
      <c r="B15" s="12" t="s">
        <v>59</v>
      </c>
      <c r="C15" s="132">
        <f t="shared" ref="C15:C16" si="19">s_C*s_IRAiw*s_EFiw*s_ETiw*(1/24)*s_Fin*s_Fi</f>
        <v>6875</v>
      </c>
      <c r="D15" s="132">
        <f t="shared" ref="D15:D16" si="20">s_C*s_EFres*(1/365)*s_ETres*(1/24)*s_GSFa*s_Fin*s_Fi</f>
        <v>0.3139269406392694</v>
      </c>
      <c r="E15" s="2">
        <f>C15*Doses!H13</f>
        <v>320.51249999999999</v>
      </c>
      <c r="F15" s="3">
        <f>D15*Doses!J13</f>
        <v>3.1523376575342465E-5</v>
      </c>
      <c r="G15" s="108">
        <f>SUM((C15*Doses!H13),(D15*Doses!J13))</f>
        <v>320.51253152337654</v>
      </c>
      <c r="H15" s="3">
        <f t="shared" ref="H15:J15" si="21">IFERROR(E15/_1_bq,".")</f>
        <v>11.858962500000011</v>
      </c>
      <c r="I15" s="3">
        <f t="shared" si="21"/>
        <v>1.1663649332876724E-6</v>
      </c>
      <c r="J15" s="4">
        <f t="shared" si="21"/>
        <v>11.858963666364945</v>
      </c>
    </row>
    <row r="16" spans="1:10">
      <c r="A16" s="87" t="s">
        <v>29</v>
      </c>
      <c r="B16" s="12" t="s">
        <v>59</v>
      </c>
      <c r="C16" s="132">
        <f t="shared" si="19"/>
        <v>6875</v>
      </c>
      <c r="D16" s="132">
        <f t="shared" si="20"/>
        <v>0.3139269406392694</v>
      </c>
      <c r="E16" s="2">
        <f>C16*Doses!H14</f>
        <v>0.115995</v>
      </c>
      <c r="F16" s="3">
        <f>D16*Doses!J14</f>
        <v>3.3979267541095893E-4</v>
      </c>
      <c r="G16" s="108">
        <f>SUM((C16*Doses!H14),(D16*Doses!J14))</f>
        <v>0.11633479267541096</v>
      </c>
      <c r="H16" s="3">
        <f t="shared" ref="H16:J19" si="22">IFERROR(E16/_1_bq,".")</f>
        <v>4.2918150000000044E-3</v>
      </c>
      <c r="I16" s="3">
        <f t="shared" si="22"/>
        <v>1.2572328990205493E-5</v>
      </c>
      <c r="J16" s="4">
        <f t="shared" si="22"/>
        <v>4.3043873289902099E-3</v>
      </c>
    </row>
    <row r="17" spans="1:10">
      <c r="A17" s="87" t="s">
        <v>32</v>
      </c>
      <c r="B17" s="12" t="s">
        <v>59</v>
      </c>
      <c r="C17" s="132">
        <f t="shared" ref="C17:C23" si="23">s_C*s_IRAiw*s_EFiw*s_ETiw*(1/24)*s_Fin*s_Fi</f>
        <v>6875</v>
      </c>
      <c r="D17" s="132">
        <f t="shared" ref="D17:D23" si="24">s_C*s_EFres*(1/365)*s_ETres*(1/24)*s_GSFa*s_Fin*s_Fi</f>
        <v>0.3139269406392694</v>
      </c>
      <c r="E17" s="2">
        <f>C17*Doses!H15</f>
        <v>1.7755374999999999E-3</v>
      </c>
      <c r="F17" s="3">
        <f>D17*Doses!J15</f>
        <v>3.6655089041095891E-6</v>
      </c>
      <c r="G17" s="108">
        <f>SUM((C17*Doses!H15),(D17*Doses!J15))</f>
        <v>1.7792030089041095E-3</v>
      </c>
      <c r="H17" s="3">
        <f t="shared" si="22"/>
        <v>6.569488750000007E-5</v>
      </c>
      <c r="I17" s="3">
        <f t="shared" si="22"/>
        <v>1.3562382945205493E-7</v>
      </c>
      <c r="J17" s="4">
        <f t="shared" si="22"/>
        <v>6.5830511329452112E-5</v>
      </c>
    </row>
    <row r="18" spans="1:10">
      <c r="A18" s="87" t="s">
        <v>33</v>
      </c>
      <c r="B18" s="90" t="s">
        <v>59</v>
      </c>
      <c r="C18" s="132">
        <f t="shared" si="23"/>
        <v>6875</v>
      </c>
      <c r="D18" s="132">
        <f t="shared" si="24"/>
        <v>0.3139269406392694</v>
      </c>
      <c r="E18" s="2">
        <f>C18*Doses!H16</f>
        <v>153.388125</v>
      </c>
      <c r="F18" s="3">
        <f>D18*Doses!J16</f>
        <v>1.7264546938356166E-6</v>
      </c>
      <c r="G18" s="108">
        <f>SUM((C18*Doses!H16),(D18*Doses!J16))</f>
        <v>153.38812672645469</v>
      </c>
      <c r="H18" s="3">
        <f t="shared" si="22"/>
        <v>5.6753606250000059</v>
      </c>
      <c r="I18" s="3">
        <f t="shared" si="22"/>
        <v>6.3878823671917877E-8</v>
      </c>
      <c r="J18" s="4">
        <f t="shared" si="22"/>
        <v>5.6753606888788291</v>
      </c>
    </row>
    <row r="19" spans="1:10">
      <c r="A19" s="87" t="s">
        <v>34</v>
      </c>
      <c r="B19" s="90" t="s">
        <v>59</v>
      </c>
      <c r="C19" s="132">
        <f t="shared" si="23"/>
        <v>6875</v>
      </c>
      <c r="D19" s="132">
        <f t="shared" si="24"/>
        <v>0.3139269406392694</v>
      </c>
      <c r="E19" s="2">
        <f>C19*Doses!H17</f>
        <v>0.32037500000000002</v>
      </c>
      <c r="F19" s="3">
        <f>D19*Doses!J17</f>
        <v>4.0687148835616437E-4</v>
      </c>
      <c r="G19" s="108">
        <f>SUM((C19*Doses!H17),(D19*Doses!J17))</f>
        <v>0.32078187148835619</v>
      </c>
      <c r="H19" s="3">
        <f t="shared" si="22"/>
        <v>1.1853875000000012E-2</v>
      </c>
      <c r="I19" s="3">
        <f t="shared" si="22"/>
        <v>1.5054245069178098E-5</v>
      </c>
      <c r="J19" s="4">
        <f t="shared" si="22"/>
        <v>1.1868929245069191E-2</v>
      </c>
    </row>
    <row r="20" spans="1:10">
      <c r="A20" s="87" t="s">
        <v>36</v>
      </c>
      <c r="B20" s="90" t="s">
        <v>59</v>
      </c>
      <c r="C20" s="132">
        <f t="shared" si="23"/>
        <v>6875</v>
      </c>
      <c r="D20" s="132">
        <f t="shared" si="24"/>
        <v>0.3139269406392694</v>
      </c>
      <c r="E20" s="2">
        <f>C20*Doses!H18</f>
        <v>119.04750000000001</v>
      </c>
      <c r="F20" s="3">
        <f>D20*Doses!J18</f>
        <v>1.631151462328767E-8</v>
      </c>
      <c r="G20" s="108">
        <f>SUM((C20*Doses!H18),(D20*Doses!J18))</f>
        <v>119.04750001631153</v>
      </c>
      <c r="H20" s="3">
        <f t="shared" ref="H20:J23" si="25">IFERROR(E20/_1_bq,".")</f>
        <v>4.404757500000005</v>
      </c>
      <c r="I20" s="3">
        <f t="shared" si="25"/>
        <v>6.0352604106164436E-10</v>
      </c>
      <c r="J20" s="4">
        <f t="shared" si="25"/>
        <v>4.4047575006035311</v>
      </c>
    </row>
    <row r="21" spans="1:10">
      <c r="A21" s="87" t="s">
        <v>37</v>
      </c>
      <c r="B21" s="12" t="s">
        <v>59</v>
      </c>
      <c r="C21" s="132">
        <f t="shared" si="23"/>
        <v>6875</v>
      </c>
      <c r="D21" s="132">
        <f t="shared" si="24"/>
        <v>0.3139269406392694</v>
      </c>
      <c r="E21" s="2">
        <f>C21*Doses!H19</f>
        <v>0</v>
      </c>
      <c r="F21" s="3">
        <f>D21*Doses!J19</f>
        <v>6.2680202260273976E-8</v>
      </c>
      <c r="G21" s="108">
        <f>SUM((C21*Doses!H19),(D21*Doses!J19))</f>
        <v>6.2680202260273976E-8</v>
      </c>
      <c r="H21" s="3">
        <f t="shared" si="25"/>
        <v>0</v>
      </c>
      <c r="I21" s="3">
        <f t="shared" si="25"/>
        <v>2.3191674836301395E-9</v>
      </c>
      <c r="J21" s="4">
        <f t="shared" si="25"/>
        <v>2.3191674836301395E-9</v>
      </c>
    </row>
    <row r="22" spans="1:10">
      <c r="A22" s="87" t="s">
        <v>38</v>
      </c>
      <c r="B22" s="90" t="s">
        <v>59</v>
      </c>
      <c r="C22" s="132">
        <f t="shared" si="23"/>
        <v>6875</v>
      </c>
      <c r="D22" s="132">
        <f t="shared" si="24"/>
        <v>0.3139269406392694</v>
      </c>
      <c r="E22" s="2">
        <f>C22*Doses!H20</f>
        <v>0</v>
      </c>
      <c r="F22" s="3">
        <f>D22*Doses!J20</f>
        <v>1.3928933835616439E-7</v>
      </c>
      <c r="G22" s="108">
        <f>SUM((C22*Doses!H20),(D22*Doses!J20))</f>
        <v>1.3928933835616439E-7</v>
      </c>
      <c r="H22" s="3">
        <f t="shared" si="25"/>
        <v>0</v>
      </c>
      <c r="I22" s="3">
        <f t="shared" si="25"/>
        <v>5.153705519178088E-9</v>
      </c>
      <c r="J22" s="4">
        <f t="shared" si="25"/>
        <v>5.153705519178088E-9</v>
      </c>
    </row>
    <row r="23" spans="1:10">
      <c r="A23" s="87" t="s">
        <v>39</v>
      </c>
      <c r="B23" s="90" t="s">
        <v>59</v>
      </c>
      <c r="C23" s="132">
        <f t="shared" si="23"/>
        <v>6875</v>
      </c>
      <c r="D23" s="132">
        <f t="shared" si="24"/>
        <v>0.3139269406392694</v>
      </c>
      <c r="E23" s="2">
        <f>C23*Doses!H21</f>
        <v>5.2387499999999997E-2</v>
      </c>
      <c r="F23" s="3">
        <f>D23*Doses!J21</f>
        <v>9.6036333287671233E-11</v>
      </c>
      <c r="G23" s="108">
        <f>SUM((C23*Doses!H21),(D23*Doses!J21))</f>
        <v>5.2387500096036328E-2</v>
      </c>
      <c r="H23" s="3">
        <f t="shared" si="25"/>
        <v>1.9383375000000017E-3</v>
      </c>
      <c r="I23" s="3">
        <f t="shared" si="25"/>
        <v>3.5533443316438391E-12</v>
      </c>
      <c r="J23" s="4">
        <f t="shared" si="25"/>
        <v>1.9383375035533462E-3</v>
      </c>
    </row>
    <row r="24" spans="1:10">
      <c r="A24" s="87" t="s">
        <v>26</v>
      </c>
      <c r="B24" s="12" t="s">
        <v>59</v>
      </c>
      <c r="C24" s="132">
        <f t="shared" ref="C24:C25" si="26">s_C*s_IRAiw*s_EFiw*s_ETiw*(1/24)*s_Fin*s_Fi</f>
        <v>6875</v>
      </c>
      <c r="D24" s="132">
        <f t="shared" ref="D24:D25" si="27">s_C*s_EFres*(1/365)*s_ETres*(1/24)*s_GSFa*s_Fin*s_Fi</f>
        <v>0.3139269406392694</v>
      </c>
      <c r="E24" s="2">
        <f>C24*Doses!H22</f>
        <v>213.92937499999999</v>
      </c>
      <c r="F24" s="3">
        <f>D24*Doses!J22</f>
        <v>9.0538069931506854E-6</v>
      </c>
      <c r="G24" s="108">
        <f>SUM((C24*Doses!H22),(D24*Doses!J22))</f>
        <v>213.92938405380698</v>
      </c>
      <c r="H24" s="3">
        <f t="shared" ref="H24:J25" si="28">IFERROR(E24/_1_bq,".")</f>
        <v>7.9153868750000074</v>
      </c>
      <c r="I24" s="3">
        <f t="shared" si="28"/>
        <v>3.3499085874657569E-7</v>
      </c>
      <c r="J24" s="4">
        <f t="shared" si="28"/>
        <v>7.9153872099908664</v>
      </c>
    </row>
    <row r="25" spans="1:10">
      <c r="A25" s="88" t="s">
        <v>27</v>
      </c>
      <c r="B25" s="90" t="s">
        <v>44</v>
      </c>
      <c r="C25" s="132">
        <f t="shared" si="26"/>
        <v>6875</v>
      </c>
      <c r="D25" s="132">
        <f t="shared" si="27"/>
        <v>0.3139269406392694</v>
      </c>
      <c r="E25" s="2">
        <f>C25*Doses!H23</f>
        <v>262.00624999999997</v>
      </c>
      <c r="F25" s="3">
        <f>D25*Doses!J23</f>
        <v>1.1399732691780822E-5</v>
      </c>
      <c r="G25" s="108">
        <f>SUM((C25*Doses!H23),(D25*Doses!J23))</f>
        <v>262.00626139973264</v>
      </c>
      <c r="H25" s="3">
        <f t="shared" si="28"/>
        <v>9.6942312500000085</v>
      </c>
      <c r="I25" s="3">
        <f t="shared" si="28"/>
        <v>4.2179010959589085E-7</v>
      </c>
      <c r="J25" s="4">
        <f t="shared" si="28"/>
        <v>9.6942316717901171</v>
      </c>
    </row>
    <row r="26" spans="1:10">
      <c r="A26" s="87" t="s">
        <v>30</v>
      </c>
      <c r="B26" s="90" t="s">
        <v>59</v>
      </c>
      <c r="C26" s="132">
        <f t="shared" ref="C26" si="29">s_C*s_IRAiw*s_EFiw*s_ETiw*(1/24)*s_Fin*s_Fi</f>
        <v>6875</v>
      </c>
      <c r="D26" s="132">
        <f t="shared" ref="D26" si="30">s_C*s_EFres*(1/365)*s_ETres*(1/24)*s_GSFa*s_Fin*s_Fi</f>
        <v>0.3139269406392694</v>
      </c>
      <c r="E26" s="2">
        <f>C26*Doses!H24</f>
        <v>0</v>
      </c>
      <c r="F26" s="3">
        <f>D26*Doses!J24</f>
        <v>1.2462730273972603E-6</v>
      </c>
      <c r="G26" s="108">
        <f>SUM((C26*Doses!H24),(D26*Doses!J24))</f>
        <v>1.2462730273972603E-6</v>
      </c>
      <c r="H26" s="3">
        <f t="shared" ref="H26:J27" si="31">IFERROR(E26/_1_bq,".")</f>
        <v>0</v>
      </c>
      <c r="I26" s="3">
        <f t="shared" si="31"/>
        <v>4.6112102013698676E-8</v>
      </c>
      <c r="J26" s="4">
        <f t="shared" si="31"/>
        <v>4.6112102013698676E-8</v>
      </c>
    </row>
    <row r="27" spans="1:10">
      <c r="A27" s="88" t="s">
        <v>31</v>
      </c>
      <c r="B27" s="90" t="s">
        <v>44</v>
      </c>
      <c r="C27" s="132">
        <f t="shared" ref="C27" si="32">s_C*s_IRAiw*s_EFiw*s_ETiw*(1/24)*s_Fin*s_Fi</f>
        <v>6875</v>
      </c>
      <c r="D27" s="132">
        <f t="shared" ref="D27" si="33">s_C*s_EFres*(1/365)*s_ETres*(1/24)*s_GSFa*s_Fin*s_Fi</f>
        <v>0.3139269406392694</v>
      </c>
      <c r="E27" s="2">
        <f>C27*Doses!H25</f>
        <v>4.5031250000000002E-2</v>
      </c>
      <c r="F27" s="3">
        <f>D27*Doses!J25</f>
        <v>6.3413304041095888E-7</v>
      </c>
      <c r="G27" s="108">
        <f>SUM((C27*Doses!H25),(D27*Doses!J25))</f>
        <v>4.5031884133040413E-2</v>
      </c>
      <c r="H27" s="3">
        <f t="shared" si="31"/>
        <v>1.6661562500000018E-3</v>
      </c>
      <c r="I27" s="3">
        <f t="shared" si="31"/>
        <v>2.3462922495205502E-8</v>
      </c>
      <c r="J27" s="4">
        <f t="shared" si="31"/>
        <v>1.6661797129224969E-3</v>
      </c>
    </row>
    <row r="28" spans="1:10">
      <c r="A28" s="87" t="s">
        <v>35</v>
      </c>
      <c r="B28" s="12" t="s">
        <v>59</v>
      </c>
      <c r="C28" s="132">
        <f t="shared" ref="C28:C31" si="34">s_C*s_IRAiw*s_EFiw*s_ETiw*(1/24)*s_Fin*s_Fi</f>
        <v>6875</v>
      </c>
      <c r="D28" s="132">
        <f t="shared" ref="D28:D31" si="35">s_C*s_EFres*(1/365)*s_ETres*(1/24)*s_GSFa*s_Fin*s_Fi</f>
        <v>0.3139269406392694</v>
      </c>
      <c r="E28" s="2">
        <f>C28*Doses!H26</f>
        <v>1920.53125</v>
      </c>
      <c r="F28" s="3">
        <f>D28*Doses!J26</f>
        <v>1.2169489561643836E-4</v>
      </c>
      <c r="G28" s="108">
        <f>SUM((C28*Doses!H26),(D28*Doses!J26))</f>
        <v>1920.5313716948956</v>
      </c>
      <c r="H28" s="3">
        <f t="shared" ref="H28:J28" si="36">IFERROR(E28/_1_bq,".")</f>
        <v>71.059656250000074</v>
      </c>
      <c r="I28" s="3">
        <f t="shared" si="36"/>
        <v>4.5027111378082238E-6</v>
      </c>
      <c r="J28" s="4">
        <f t="shared" si="36"/>
        <v>71.05966075271121</v>
      </c>
    </row>
    <row r="29" spans="1:10">
      <c r="A29" s="87" t="s">
        <v>40</v>
      </c>
      <c r="B29" s="90" t="s">
        <v>59</v>
      </c>
      <c r="C29" s="132">
        <f t="shared" si="34"/>
        <v>6875</v>
      </c>
      <c r="D29" s="132">
        <f t="shared" si="35"/>
        <v>0.3139269406392694</v>
      </c>
      <c r="E29" s="2">
        <f>C29*Doses!H27</f>
        <v>0</v>
      </c>
      <c r="F29" s="3">
        <f>D29*Doses!J27</f>
        <v>1.4552070349315068E-5</v>
      </c>
      <c r="G29" s="108">
        <f>SUM((C29*Doses!H27),(D29*Doses!J27))</f>
        <v>1.4552070349315068E-5</v>
      </c>
      <c r="H29" s="3">
        <f t="shared" ref="H29:J31" si="37">IFERROR(E29/_1_bq,".")</f>
        <v>0</v>
      </c>
      <c r="I29" s="3">
        <f t="shared" si="37"/>
        <v>5.3842660292465806E-7</v>
      </c>
      <c r="J29" s="4">
        <f t="shared" si="37"/>
        <v>5.3842660292465806E-7</v>
      </c>
    </row>
    <row r="30" spans="1:10">
      <c r="A30" s="87" t="s">
        <v>41</v>
      </c>
      <c r="B30" s="12" t="s">
        <v>59</v>
      </c>
      <c r="C30" s="132">
        <f t="shared" si="34"/>
        <v>6875</v>
      </c>
      <c r="D30" s="132">
        <f t="shared" si="35"/>
        <v>0.3139269406392694</v>
      </c>
      <c r="E30" s="2">
        <f>C30*Doses!H28</f>
        <v>0</v>
      </c>
      <c r="F30" s="3">
        <f>D30*Doses!J28</f>
        <v>3.7388190821917807E-3</v>
      </c>
      <c r="G30" s="108">
        <f>SUM((C30*Doses!H28),(D30*Doses!J28))</f>
        <v>3.7388190821917807E-3</v>
      </c>
      <c r="H30" s="3">
        <f t="shared" si="37"/>
        <v>0</v>
      </c>
      <c r="I30" s="3">
        <f t="shared" si="37"/>
        <v>1.3833630604109603E-4</v>
      </c>
      <c r="J30" s="4">
        <f t="shared" si="37"/>
        <v>1.3833630604109603E-4</v>
      </c>
    </row>
    <row r="31" spans="1:10">
      <c r="A31" s="87" t="s">
        <v>42</v>
      </c>
      <c r="B31" s="90" t="s">
        <v>59</v>
      </c>
      <c r="C31" s="132">
        <f t="shared" si="34"/>
        <v>6875</v>
      </c>
      <c r="D31" s="132">
        <f t="shared" si="35"/>
        <v>0.3139269406392694</v>
      </c>
      <c r="E31" s="2">
        <f>C31*Doses!H29</f>
        <v>0</v>
      </c>
      <c r="F31" s="3">
        <f>D31*Doses!J29</f>
        <v>4.8384717534246573E-3</v>
      </c>
      <c r="G31" s="108">
        <f>SUM((C31*Doses!H29),(D31*Doses!J29))</f>
        <v>4.8384717534246573E-3</v>
      </c>
      <c r="H31" s="3">
        <f t="shared" si="37"/>
        <v>0</v>
      </c>
      <c r="I31" s="3">
        <f t="shared" si="37"/>
        <v>1.7902345487671249E-4</v>
      </c>
      <c r="J31" s="4">
        <f t="shared" si="37"/>
        <v>1.7902345487671249E-4</v>
      </c>
    </row>
    <row r="32" spans="1:10" ht="13.5" thickBot="1">
      <c r="A32" s="87" t="s">
        <v>25</v>
      </c>
      <c r="B32" s="12" t="s">
        <v>59</v>
      </c>
      <c r="C32" s="132">
        <f t="shared" ref="C32" si="38">s_C*s_IRAiw*s_EFiw*s_ETiw*(1/24)*s_Fin*s_Fi</f>
        <v>6875</v>
      </c>
      <c r="D32" s="132">
        <f t="shared" ref="D32" si="39">s_C*s_EFres*(1/365)*s_ETres*(1/24)*s_GSFa*s_Fin*s_Fi</f>
        <v>0.3139269406392694</v>
      </c>
      <c r="E32" s="2">
        <f>C32*Doses!H30</f>
        <v>262.00624999999997</v>
      </c>
      <c r="F32" s="3">
        <f>D32*Doses!J30</f>
        <v>3.8854394383561645E-7</v>
      </c>
      <c r="G32" s="108">
        <f>SUM((C32*Doses!H30),(D32*Doses!J30))</f>
        <v>262.00625038854389</v>
      </c>
      <c r="H32" s="3">
        <f t="shared" ref="H32:J32" si="40">IFERROR(E32/_1_bq,".")</f>
        <v>9.6942312500000085</v>
      </c>
      <c r="I32" s="3">
        <f t="shared" si="40"/>
        <v>1.4376125921917822E-8</v>
      </c>
      <c r="J32" s="4">
        <f t="shared" si="40"/>
        <v>9.6942312643761337</v>
      </c>
    </row>
    <row r="33" spans="1:10" ht="15">
      <c r="A33" s="109" t="s">
        <v>14</v>
      </c>
      <c r="B33" s="109" t="s">
        <v>59</v>
      </c>
      <c r="C33" s="128"/>
      <c r="D33" s="129"/>
      <c r="E33" s="110">
        <f>SUM(E34:E46)</f>
        <v>5446.9350682106851</v>
      </c>
      <c r="F33" s="111">
        <f t="shared" ref="F33:G33" si="41">SUM(F34:F46)</f>
        <v>8.9360317889865119E-4</v>
      </c>
      <c r="G33" s="112">
        <f t="shared" si="41"/>
        <v>5446.9359618138651</v>
      </c>
      <c r="H33" s="110">
        <f t="shared" ref="H33:H78" si="42">E33/_1_bq</f>
        <v>201.53659752379556</v>
      </c>
      <c r="I33" s="111">
        <f t="shared" ref="I33:I78" si="43">F33/_1_bq</f>
        <v>3.3063317619250127E-5</v>
      </c>
      <c r="J33" s="112">
        <f t="shared" ref="J33:J78" si="44">G33/_1_bq</f>
        <v>201.53663058711322</v>
      </c>
    </row>
    <row r="34" spans="1:10" ht="15">
      <c r="A34" s="113" t="s">
        <v>175</v>
      </c>
      <c r="B34" s="114">
        <v>1</v>
      </c>
      <c r="C34" s="128"/>
      <c r="D34" s="129"/>
      <c r="E34" s="115">
        <f>IFERROR(VLOOKUP("Am-241",$A$4:$J$32,3)*VLOOKUP("Am-241",Doses!$A$1:$O$30,8)*$B34,0)</f>
        <v>2495.4187500000003</v>
      </c>
      <c r="F34" s="127">
        <f>IFERROR(VLOOKUP("Am-241",$A$4:$J$32,4)*VLOOKUP("Am-241",Doses!$A$1:$O$30,10)*$B34,0)</f>
        <v>2.4632219835616437E-5</v>
      </c>
      <c r="G34" s="117">
        <f>SUM(E34:F34)</f>
        <v>2495.41877463222</v>
      </c>
      <c r="H34" s="115">
        <f t="shared" si="42"/>
        <v>92.330493750000102</v>
      </c>
      <c r="I34" s="116">
        <f t="shared" si="43"/>
        <v>9.1139213391780913E-7</v>
      </c>
      <c r="J34" s="117">
        <f t="shared" si="44"/>
        <v>92.330494661392237</v>
      </c>
    </row>
    <row r="35" spans="1:10" ht="15">
      <c r="A35" s="113" t="s">
        <v>176</v>
      </c>
      <c r="B35" s="114">
        <v>1</v>
      </c>
      <c r="C35" s="128"/>
      <c r="D35" s="129"/>
      <c r="E35" s="115">
        <f>IFERROR(VLOOKUP("Np-237",$A$4:$J$32,3)*VLOOKUP("Np-237",Doses!$A$1:$O$31,8)*$B35,0)</f>
        <v>320.51249999999999</v>
      </c>
      <c r="F35" s="127">
        <f>IFERROR(VLOOKUP("Np-237",$A$4:$J$32,4)*VLOOKUP("Np-237",Doses!$A$1:$O$31,10)*$B35,0)</f>
        <v>3.1523376575342465E-5</v>
      </c>
      <c r="G35" s="117">
        <f t="shared" ref="G35:G46" si="45">SUM(E35:F35)</f>
        <v>320.51253152337654</v>
      </c>
      <c r="H35" s="115">
        <f t="shared" si="42"/>
        <v>11.858962500000011</v>
      </c>
      <c r="I35" s="116">
        <f t="shared" si="43"/>
        <v>1.1663649332876724E-6</v>
      </c>
      <c r="J35" s="117">
        <f t="shared" si="44"/>
        <v>11.858963666364945</v>
      </c>
    </row>
    <row r="36" spans="1:10" ht="15">
      <c r="A36" s="113" t="s">
        <v>177</v>
      </c>
      <c r="B36" s="114">
        <v>1</v>
      </c>
      <c r="C36" s="128"/>
      <c r="D36" s="129"/>
      <c r="E36" s="115">
        <f>IFERROR(VLOOKUP("Pa-233",$A$4:$J$32,3)*VLOOKUP("Pa-233",Doses!$A$1:$O$32,8)*$B36,0)</f>
        <v>0.115995</v>
      </c>
      <c r="F36" s="127">
        <f>IFERROR(VLOOKUP("Pa-233",$A$4:$J$32,4)*VLOOKUP("Pa-233",Doses!$A$1:$O$32,10)*$B36,0)</f>
        <v>3.3979267541095893E-4</v>
      </c>
      <c r="G36" s="117">
        <f t="shared" si="45"/>
        <v>0.11633479267541096</v>
      </c>
      <c r="H36" s="115">
        <f t="shared" si="42"/>
        <v>4.2918150000000044E-3</v>
      </c>
      <c r="I36" s="116">
        <f t="shared" si="43"/>
        <v>1.2572328990205493E-5</v>
      </c>
      <c r="J36" s="117">
        <f t="shared" si="44"/>
        <v>4.3043873289902099E-3</v>
      </c>
    </row>
    <row r="37" spans="1:10" ht="15">
      <c r="A37" s="113" t="s">
        <v>178</v>
      </c>
      <c r="B37" s="114">
        <v>1</v>
      </c>
      <c r="C37" s="128"/>
      <c r="D37" s="129"/>
      <c r="E37" s="115">
        <f>IFERROR(VLOOKUP("U-233",$A$4:$J$32,3)*VLOOKUP("U-233",Doses!$A$1:$O$33,8)*$B37,0)</f>
        <v>262.00624999999997</v>
      </c>
      <c r="F37" s="127">
        <f>IFERROR(VLOOKUP("U-233",$A$4:$J$32,4)*VLOOKUP("U-233",Doses!$A$1:$O$33,10)*$B37,0)</f>
        <v>3.8854394383561645E-7</v>
      </c>
      <c r="G37" s="117">
        <f t="shared" si="45"/>
        <v>262.00625038854389</v>
      </c>
      <c r="H37" s="115">
        <f t="shared" si="42"/>
        <v>9.6942312500000085</v>
      </c>
      <c r="I37" s="116">
        <f t="shared" si="43"/>
        <v>1.4376125921917822E-8</v>
      </c>
      <c r="J37" s="117">
        <f t="shared" si="44"/>
        <v>9.6942312643761337</v>
      </c>
    </row>
    <row r="38" spans="1:10" ht="15">
      <c r="A38" s="113" t="s">
        <v>179</v>
      </c>
      <c r="B38" s="114">
        <v>1</v>
      </c>
      <c r="C38" s="128"/>
      <c r="D38" s="129"/>
      <c r="E38" s="115">
        <f>IFERROR(VLOOKUP("Th-229",$A$4:$J$32,3)*VLOOKUP("Th-229",Doses!$A$1:$O$34,8)*$B38,0)</f>
        <v>1920.53125</v>
      </c>
      <c r="F38" s="127">
        <f>IFERROR(VLOOKUP("Th-229",$A$4:$J$32,4)*VLOOKUP("Th-229",Doses!$A$1:$O$34,10)*$B38,0)</f>
        <v>1.2169489561643836E-4</v>
      </c>
      <c r="G38" s="117">
        <f t="shared" si="45"/>
        <v>1920.5313716948956</v>
      </c>
      <c r="H38" s="115">
        <f t="shared" si="42"/>
        <v>71.059656250000074</v>
      </c>
      <c r="I38" s="116">
        <f t="shared" si="43"/>
        <v>4.5027111378082238E-6</v>
      </c>
      <c r="J38" s="117">
        <f t="shared" si="44"/>
        <v>71.05966075271121</v>
      </c>
    </row>
    <row r="39" spans="1:10" ht="15">
      <c r="A39" s="113" t="s">
        <v>180</v>
      </c>
      <c r="B39" s="114">
        <v>1</v>
      </c>
      <c r="C39" s="128"/>
      <c r="D39" s="129"/>
      <c r="E39" s="115">
        <f>IFERROR(VLOOKUP("Ra-225",$A$4:$J$32,3)*VLOOKUP("Ra-225",Doses!$A$1:$O$35,8)*$B39,0)</f>
        <v>213.92937499999999</v>
      </c>
      <c r="F39" s="127">
        <f>IFERROR(VLOOKUP("Ra-225",$A$4:$J$32,4)*VLOOKUP("Ra-225",Doses!$A$1:$O$35,10)*$B39,0)</f>
        <v>9.0538069931506854E-6</v>
      </c>
      <c r="G39" s="117">
        <f t="shared" si="45"/>
        <v>213.92938405380698</v>
      </c>
      <c r="H39" s="115">
        <f t="shared" si="42"/>
        <v>7.9153868750000074</v>
      </c>
      <c r="I39" s="116">
        <f t="shared" si="43"/>
        <v>3.3499085874657569E-7</v>
      </c>
      <c r="J39" s="117">
        <f t="shared" si="44"/>
        <v>7.9153872099908664</v>
      </c>
    </row>
    <row r="40" spans="1:10" ht="15">
      <c r="A40" s="113" t="s">
        <v>181</v>
      </c>
      <c r="B40" s="114">
        <v>1</v>
      </c>
      <c r="C40" s="128"/>
      <c r="D40" s="129"/>
      <c r="E40" s="115">
        <f>IFERROR(VLOOKUP("Ac-225",$A$4:$J$32,3)*VLOOKUP("Ac-225",Doses!$A$1:$O$36,8)*$B40,0)</f>
        <v>233.51625000000001</v>
      </c>
      <c r="F40" s="127">
        <f>IFERROR(VLOOKUP("Ac-225",$A$4:$J$32,4)*VLOOKUP("Ac-225",Doses!$A$1:$O$36,10)*$B40,0)</f>
        <v>2.0746780397260273E-5</v>
      </c>
      <c r="G40" s="117">
        <f t="shared" si="45"/>
        <v>233.51627074678041</v>
      </c>
      <c r="H40" s="115">
        <f t="shared" si="42"/>
        <v>8.6401012500000096</v>
      </c>
      <c r="I40" s="116">
        <f t="shared" si="43"/>
        <v>7.6763087469863091E-7</v>
      </c>
      <c r="J40" s="117">
        <f t="shared" si="44"/>
        <v>8.640102017630884</v>
      </c>
    </row>
    <row r="41" spans="1:10" ht="15">
      <c r="A41" s="113" t="s">
        <v>182</v>
      </c>
      <c r="B41" s="114">
        <v>1</v>
      </c>
      <c r="C41" s="128"/>
      <c r="D41" s="129"/>
      <c r="E41" s="115">
        <f>IFERROR(VLOOKUP("Fr-221",$A$4:$J$32,3)*VLOOKUP("Fr-221",Doses!$A$1:$O$37,8)*$B41,0)</f>
        <v>0</v>
      </c>
      <c r="F41" s="127">
        <f>IFERROR(VLOOKUP("Fr-221",$A$4:$J$32,4)*VLOOKUP("Fr-221",Doses!$A$1:$O$37,10)*$B41,0)</f>
        <v>4.581886130136986E-5</v>
      </c>
      <c r="G41" s="117">
        <f t="shared" si="45"/>
        <v>4.581886130136986E-5</v>
      </c>
      <c r="H41" s="115">
        <f t="shared" si="42"/>
        <v>0</v>
      </c>
      <c r="I41" s="116">
        <f t="shared" si="43"/>
        <v>1.6952978681506865E-6</v>
      </c>
      <c r="J41" s="117">
        <f t="shared" si="44"/>
        <v>1.6952978681506865E-6</v>
      </c>
    </row>
    <row r="42" spans="1:10" ht="15">
      <c r="A42" s="113" t="s">
        <v>183</v>
      </c>
      <c r="B42" s="114">
        <v>1</v>
      </c>
      <c r="C42" s="128"/>
      <c r="D42" s="129"/>
      <c r="E42" s="115">
        <f>IFERROR(VLOOKUP("At-217",$A$4:$J$32,3)*VLOOKUP("At-217",Doses!$A$1:$O$38,8)*$B42,0)</f>
        <v>0</v>
      </c>
      <c r="F42" s="127">
        <f>IFERROR(VLOOKUP("At-217",$A$4:$J$32,4)*VLOOKUP("At-217",Doses!$A$1:$O$38,10)*$B42,0)</f>
        <v>3.8854394383561645E-7</v>
      </c>
      <c r="G42" s="117">
        <f t="shared" si="45"/>
        <v>3.8854394383561645E-7</v>
      </c>
      <c r="H42" s="115">
        <f t="shared" si="42"/>
        <v>0</v>
      </c>
      <c r="I42" s="116">
        <f t="shared" si="43"/>
        <v>1.4376125921917822E-8</v>
      </c>
      <c r="J42" s="117">
        <f t="shared" si="44"/>
        <v>1.4376125921917822E-8</v>
      </c>
    </row>
    <row r="43" spans="1:10" ht="15">
      <c r="A43" s="113" t="s">
        <v>184</v>
      </c>
      <c r="B43" s="118">
        <v>0.99987999999999999</v>
      </c>
      <c r="C43" s="128"/>
      <c r="D43" s="129"/>
      <c r="E43" s="115">
        <f>IFERROR(VLOOKUP("Bi-213",$A$4:$J$32,3)*VLOOKUP("Bi-213",Doses!$A$1:$O$39,8)*$B43,0)</f>
        <v>0.90292288624999995</v>
      </c>
      <c r="F43" s="127">
        <f>IFERROR(VLOOKUP("Bi-213",$A$4:$J$32,4)*VLOOKUP("Bi-213",Doses!$A$1:$O$39,10)*$B43,0)</f>
        <v>2.1770510115664109E-4</v>
      </c>
      <c r="G43" s="117">
        <f t="shared" si="45"/>
        <v>0.90314059135115654</v>
      </c>
      <c r="H43" s="115">
        <f t="shared" si="42"/>
        <v>3.340814679125003E-2</v>
      </c>
      <c r="I43" s="116">
        <f t="shared" si="43"/>
        <v>8.0550887427957284E-6</v>
      </c>
      <c r="J43" s="117">
        <f t="shared" si="44"/>
        <v>3.3416201879992828E-2</v>
      </c>
    </row>
    <row r="44" spans="1:10" ht="15">
      <c r="A44" s="113" t="s">
        <v>185</v>
      </c>
      <c r="B44" s="114">
        <v>0.97898250799999997</v>
      </c>
      <c r="C44" s="128"/>
      <c r="D44" s="129"/>
      <c r="E44" s="115">
        <f>IFERROR(VLOOKUP("Po-213",$A$4:$J$32,3)*VLOOKUP("Po-213",Doses!$A$1:$O$40,8)*$B44,0)</f>
        <v>0</v>
      </c>
      <c r="F44" s="127">
        <f>IFERROR(VLOOKUP("Po-213",$A$4:$J$32,4)*VLOOKUP("Po-213",Doses!$A$1:$O$40,10)*$B44,0)</f>
        <v>6.1362821610710283E-8</v>
      </c>
      <c r="G44" s="117">
        <f t="shared" si="45"/>
        <v>6.1362821610710283E-8</v>
      </c>
      <c r="H44" s="115">
        <f t="shared" si="42"/>
        <v>0</v>
      </c>
      <c r="I44" s="116">
        <f t="shared" si="43"/>
        <v>2.2704243995962828E-9</v>
      </c>
      <c r="J44" s="117">
        <f t="shared" si="44"/>
        <v>2.2704243995962828E-9</v>
      </c>
    </row>
    <row r="45" spans="1:10" ht="15">
      <c r="A45" s="113" t="s">
        <v>186</v>
      </c>
      <c r="B45" s="114">
        <v>2.0897492E-2</v>
      </c>
      <c r="C45" s="128"/>
      <c r="D45" s="129"/>
      <c r="E45" s="115">
        <f>IFERROR(VLOOKUP("Tl-209",$A$4:$J$32,3)*VLOOKUP("Tl-209",Doses!$A$1:$O$41,8)*$B45,0)</f>
        <v>0</v>
      </c>
      <c r="F45" s="127">
        <f>IFERROR(VLOOKUP("Tl-209",$A$4:$J$32,4)*VLOOKUP("Tl-209",Doses!$A$1:$O$41,10)*$B45,0)</f>
        <v>7.8131941859550084E-5</v>
      </c>
      <c r="G45" s="117">
        <f t="shared" si="45"/>
        <v>7.8131941859550084E-5</v>
      </c>
      <c r="H45" s="115">
        <f t="shared" si="42"/>
        <v>0</v>
      </c>
      <c r="I45" s="116">
        <f t="shared" si="43"/>
        <v>2.8908818488033561E-6</v>
      </c>
      <c r="J45" s="117">
        <f t="shared" si="44"/>
        <v>2.8908818488033561E-6</v>
      </c>
    </row>
    <row r="46" spans="1:10" ht="15">
      <c r="A46" s="113" t="s">
        <v>187</v>
      </c>
      <c r="B46" s="114">
        <v>0.99987999999999999</v>
      </c>
      <c r="C46" s="128"/>
      <c r="D46" s="129"/>
      <c r="E46" s="115">
        <f>IFERROR(VLOOKUP("Pb-209",$A$4:$J$32,3)*VLOOKUP("Pb-209",Doses!$A$1:$O$42,8)*$B46,0)</f>
        <v>1.7753244355E-3</v>
      </c>
      <c r="F46" s="127">
        <f>IFERROR(VLOOKUP("Pb-209",$A$4:$J$32,4)*VLOOKUP("Pb-209",Doses!$A$1:$O$42,10)*$B46,0)</f>
        <v>3.6650690430410958E-6</v>
      </c>
      <c r="G46" s="117">
        <f t="shared" si="45"/>
        <v>1.7789895045430412E-3</v>
      </c>
      <c r="H46" s="115">
        <f t="shared" si="42"/>
        <v>6.5687004113500064E-5</v>
      </c>
      <c r="I46" s="116">
        <f t="shared" si="43"/>
        <v>1.3560755459252067E-7</v>
      </c>
      <c r="J46" s="117">
        <f t="shared" si="44"/>
        <v>6.5822611668092594E-5</v>
      </c>
    </row>
    <row r="47" spans="1:10" ht="15">
      <c r="A47" s="109" t="s">
        <v>17</v>
      </c>
      <c r="B47" s="109" t="s">
        <v>59</v>
      </c>
      <c r="C47" s="128"/>
      <c r="D47" s="130"/>
      <c r="E47" s="119">
        <f>SUM(E48:E49)</f>
        <v>1.0607437499999999</v>
      </c>
      <c r="F47" s="126">
        <f>SUM(F48:F49)</f>
        <v>9.3424038722488359E-4</v>
      </c>
      <c r="G47" s="121">
        <f>SUM(G48:G49)</f>
        <v>1.0616779903872249</v>
      </c>
      <c r="H47" s="119">
        <f t="shared" si="42"/>
        <v>3.9247518750000036E-2</v>
      </c>
      <c r="I47" s="120">
        <f t="shared" si="43"/>
        <v>3.456689432732073E-5</v>
      </c>
      <c r="J47" s="121">
        <f t="shared" si="44"/>
        <v>3.9282085644327364E-2</v>
      </c>
    </row>
    <row r="48" spans="1:10" ht="15">
      <c r="A48" s="113" t="s">
        <v>188</v>
      </c>
      <c r="B48" s="114">
        <v>1</v>
      </c>
      <c r="C48" s="128"/>
      <c r="D48" s="129"/>
      <c r="E48" s="115">
        <f>IFERROR(VLOOKUP("Cs-137",$A$4:$J$32,3)*VLOOKUP("Cs-137",Doses!$A$1:$O$40,8)*$B48,0)</f>
        <v>1.0607437499999999</v>
      </c>
      <c r="F48" s="127">
        <f>IFERROR(VLOOKUP("Cs-137",$A$4:$J$32,4)*VLOOKUP("Cs-137",Doses!$A$1:$O$40,10)*$B48,0)</f>
        <v>3.4455783698630134E-6</v>
      </c>
      <c r="G48" s="117">
        <f t="shared" ref="G48:G49" si="46">SUM(E48:F48)</f>
        <v>1.0607471955783698</v>
      </c>
      <c r="H48" s="115">
        <f t="shared" si="42"/>
        <v>3.9247518750000036E-2</v>
      </c>
      <c r="I48" s="116">
        <f t="shared" si="43"/>
        <v>1.2748639968493162E-7</v>
      </c>
      <c r="J48" s="117">
        <f t="shared" si="44"/>
        <v>3.9247646236399723E-2</v>
      </c>
    </row>
    <row r="49" spans="1:10" ht="15">
      <c r="A49" s="113" t="s">
        <v>189</v>
      </c>
      <c r="B49" s="114">
        <v>0.94399</v>
      </c>
      <c r="C49" s="128"/>
      <c r="D49" s="129"/>
      <c r="E49" s="115">
        <f>IFERROR(VLOOKUP("Ba-137m",$A$4:$J$32,3)*VLOOKUP("Ba-137m",Doses!$A$1:$O$40,8)*$B49,0)</f>
        <v>0</v>
      </c>
      <c r="F49" s="127">
        <f>IFERROR(VLOOKUP("Ba-137m",$A$4:$J$32,4)*VLOOKUP("Ba-137m",Doses!$A$1:$O$40,10)*$B49,0)</f>
        <v>9.3079480885502059E-4</v>
      </c>
      <c r="G49" s="117">
        <f t="shared" si="46"/>
        <v>9.3079480885502059E-4</v>
      </c>
      <c r="H49" s="115">
        <f t="shared" si="42"/>
        <v>0</v>
      </c>
      <c r="I49" s="116">
        <f t="shared" si="43"/>
        <v>3.4439407927635796E-5</v>
      </c>
      <c r="J49" s="117">
        <f t="shared" si="44"/>
        <v>3.4439407927635796E-5</v>
      </c>
    </row>
    <row r="50" spans="1:10" ht="15">
      <c r="A50" s="109" t="s">
        <v>27</v>
      </c>
      <c r="B50" s="109" t="s">
        <v>59</v>
      </c>
      <c r="C50" s="128"/>
      <c r="D50" s="130"/>
      <c r="E50" s="119">
        <f>SUM(E51:E64)</f>
        <v>538.82510462467496</v>
      </c>
      <c r="F50" s="126">
        <f>SUM(F51:F64)</f>
        <v>3.0373555343383538E-3</v>
      </c>
      <c r="G50" s="121">
        <f>SUM(G51:G64)</f>
        <v>538.82814198020912</v>
      </c>
      <c r="H50" s="119">
        <f t="shared" si="42"/>
        <v>19.936528871112994</v>
      </c>
      <c r="I50" s="120">
        <f t="shared" si="43"/>
        <v>1.123821547705192E-4</v>
      </c>
      <c r="J50" s="121">
        <f t="shared" si="44"/>
        <v>19.936641253267759</v>
      </c>
    </row>
    <row r="51" spans="1:10" ht="15">
      <c r="A51" s="113" t="s">
        <v>190</v>
      </c>
      <c r="B51" s="114">
        <v>1</v>
      </c>
      <c r="C51" s="128"/>
      <c r="D51" s="129"/>
      <c r="E51" s="115">
        <f>IFERROR(VLOOKUP("Ra-226",$A$4:$J$32,3)*VLOOKUP("Ra-226",Doses!$A$1:$O$40,8)*$B51,0)</f>
        <v>262.00624999999997</v>
      </c>
      <c r="F51" s="127">
        <f>IFERROR(VLOOKUP("Ra-226",$A$4:$J$32,4)*VLOOKUP("Ra-226",Doses!$A$1:$O$40,10)*$B51,0)</f>
        <v>1.1399732691780822E-5</v>
      </c>
      <c r="G51" s="117">
        <f t="shared" ref="G51:G64" si="47">SUM(E51:F51)</f>
        <v>262.00626139973264</v>
      </c>
      <c r="H51" s="115">
        <f t="shared" si="42"/>
        <v>9.6942312500000085</v>
      </c>
      <c r="I51" s="116">
        <f t="shared" si="43"/>
        <v>4.2179010959589085E-7</v>
      </c>
      <c r="J51" s="117">
        <f t="shared" si="44"/>
        <v>9.6942316717901171</v>
      </c>
    </row>
    <row r="52" spans="1:10" ht="15">
      <c r="A52" s="113" t="s">
        <v>191</v>
      </c>
      <c r="B52" s="114">
        <v>1</v>
      </c>
      <c r="C52" s="128"/>
      <c r="D52" s="129"/>
      <c r="E52" s="115">
        <f>IFERROR(VLOOKUP("Rn-222",$A$4:$J$32,3)*VLOOKUP("Rn-222",Doses!$A$1:$O$40,8)*$B52,0)</f>
        <v>4.5031250000000002E-2</v>
      </c>
      <c r="F52" s="127">
        <f>IFERROR(VLOOKUP("Rn-222",$A$4:$J$32,4)*VLOOKUP("Rn-222",Doses!$A$1:$O$40,10)*$B52,0)</f>
        <v>6.3413304041095888E-7</v>
      </c>
      <c r="G52" s="117">
        <f t="shared" si="47"/>
        <v>4.5031884133040413E-2</v>
      </c>
      <c r="H52" s="115">
        <f t="shared" si="42"/>
        <v>1.6661562500000018E-3</v>
      </c>
      <c r="I52" s="116">
        <f t="shared" si="43"/>
        <v>2.3462922495205502E-8</v>
      </c>
      <c r="J52" s="117">
        <f t="shared" si="44"/>
        <v>1.6661797129224969E-3</v>
      </c>
    </row>
    <row r="53" spans="1:10" ht="15">
      <c r="A53" s="113" t="s">
        <v>192</v>
      </c>
      <c r="B53" s="114">
        <v>1</v>
      </c>
      <c r="C53" s="128"/>
      <c r="D53" s="129"/>
      <c r="E53" s="115">
        <f>IFERROR(VLOOKUP("Po-218",$A$4:$J$32,3)*VLOOKUP("Po-218",Doses!$A$1:$O$40,8)*$B53,0)</f>
        <v>5.2387499999999997E-2</v>
      </c>
      <c r="F53" s="127">
        <f>IFERROR(VLOOKUP("Po-218",$A$4:$J$32,4)*VLOOKUP("Po-218",Doses!$A$1:$O$40,10)*$B53,0)</f>
        <v>9.6036333287671233E-11</v>
      </c>
      <c r="G53" s="117">
        <f t="shared" si="47"/>
        <v>5.2387500096036328E-2</v>
      </c>
      <c r="H53" s="115">
        <f t="shared" si="42"/>
        <v>1.9383375000000017E-3</v>
      </c>
      <c r="I53" s="116">
        <f t="shared" si="43"/>
        <v>3.5533443316438391E-12</v>
      </c>
      <c r="J53" s="117">
        <f t="shared" si="44"/>
        <v>1.9383375035533462E-3</v>
      </c>
    </row>
    <row r="54" spans="1:10" ht="15">
      <c r="A54" s="113" t="s">
        <v>194</v>
      </c>
      <c r="B54" s="114">
        <v>2.0000000000000001E-4</v>
      </c>
      <c r="C54" s="128"/>
      <c r="D54" s="129"/>
      <c r="E54" s="115">
        <f>IFERROR(VLOOKUP("At-218",$A$4:$J$32,3)*VLOOKUP("At-218",Doses!$A$1:$O$40,8)*$B54,0)</f>
        <v>0</v>
      </c>
      <c r="F54" s="127">
        <f>IFERROR(VLOOKUP("At-218",$A$4:$J$32,4)*VLOOKUP("At-218",Doses!$A$1:$O$40,10)*$B54,0)</f>
        <v>7.1843974520547959E-12</v>
      </c>
      <c r="G54" s="117">
        <f>SUM(E54:F54)</f>
        <v>7.1843974520547959E-12</v>
      </c>
      <c r="H54" s="115">
        <f t="shared" si="42"/>
        <v>0</v>
      </c>
      <c r="I54" s="116">
        <f t="shared" si="43"/>
        <v>2.658227057260277E-13</v>
      </c>
      <c r="J54" s="117">
        <f t="shared" si="44"/>
        <v>2.658227057260277E-13</v>
      </c>
    </row>
    <row r="55" spans="1:10" ht="15">
      <c r="A55" s="113" t="s">
        <v>196</v>
      </c>
      <c r="B55" s="114">
        <v>1.9999999999999999E-7</v>
      </c>
      <c r="C55" s="128"/>
      <c r="D55" s="129"/>
      <c r="E55" s="115">
        <f>IFERROR(VLOOKUP("Rn-218",$A$4:$J$32,3)*VLOOKUP("Rn-218",Doses!$A$1:$O$40,8)*$B55,0)</f>
        <v>0</v>
      </c>
      <c r="F55" s="127">
        <f>IFERROR(VLOOKUP("Rn-218",$A$4:$J$32,4)*VLOOKUP("Rn-218",Doses!$A$1:$O$40,10)*$B55,0)</f>
        <v>2.4925460547945203E-13</v>
      </c>
      <c r="G55" s="117">
        <f>SUM(E55:F55)</f>
        <v>2.4925460547945203E-13</v>
      </c>
      <c r="H55" s="115">
        <f t="shared" si="42"/>
        <v>0</v>
      </c>
      <c r="I55" s="116">
        <f t="shared" si="43"/>
        <v>9.2224204027397348E-15</v>
      </c>
      <c r="J55" s="117">
        <f t="shared" si="44"/>
        <v>9.2224204027397348E-15</v>
      </c>
    </row>
    <row r="56" spans="1:10" ht="15">
      <c r="A56" s="113" t="s">
        <v>193</v>
      </c>
      <c r="B56" s="114">
        <v>0.99980000000000002</v>
      </c>
      <c r="C56" s="128"/>
      <c r="D56" s="129"/>
      <c r="E56" s="115">
        <f>IFERROR(VLOOKUP("Pb-214",$A$4:$J$32,3)*VLOOKUP("Pb-214",Doses!$A$1:$O$40,8)*$B56,0)</f>
        <v>0.32031092500000002</v>
      </c>
      <c r="F56" s="127">
        <f>IFERROR(VLOOKUP("Pb-214",$A$4:$J$32,4)*VLOOKUP("Pb-214",Doses!$A$1:$O$40,10)*$B56,0)</f>
        <v>4.0679011405849315E-4</v>
      </c>
      <c r="G56" s="117">
        <f t="shared" si="47"/>
        <v>0.3207177151140585</v>
      </c>
      <c r="H56" s="115">
        <f t="shared" si="42"/>
        <v>1.1851504225000012E-2</v>
      </c>
      <c r="I56" s="116">
        <f t="shared" si="43"/>
        <v>1.5051234220164262E-5</v>
      </c>
      <c r="J56" s="117">
        <f t="shared" si="44"/>
        <v>1.1866555459220177E-2</v>
      </c>
    </row>
    <row r="57" spans="1:10" ht="15">
      <c r="A57" s="113" t="s">
        <v>195</v>
      </c>
      <c r="B57" s="114">
        <v>0.99999979999999999</v>
      </c>
      <c r="C57" s="128"/>
      <c r="D57" s="129"/>
      <c r="E57" s="115">
        <f>IFERROR(VLOOKUP("Bi-214",$A$4:$J$32,3)*VLOOKUP("Bi-214",Doses!$A$1:$O$40,8)*$B57,0)</f>
        <v>0.25162494967499999</v>
      </c>
      <c r="F57" s="127">
        <f>IFERROR(VLOOKUP("Bi-214",$A$4:$J$32,4)*VLOOKUP("Bi-214",Doses!$A$1:$O$40,10)*$B57,0)</f>
        <v>2.6061763095865517E-3</v>
      </c>
      <c r="G57" s="117">
        <f t="shared" si="47"/>
        <v>0.25423112598458653</v>
      </c>
      <c r="H57" s="115">
        <f t="shared" si="42"/>
        <v>9.3101231379750082E-3</v>
      </c>
      <c r="I57" s="116">
        <f t="shared" si="43"/>
        <v>9.6428523454702509E-5</v>
      </c>
      <c r="J57" s="117">
        <f t="shared" si="44"/>
        <v>9.4065516614297105E-3</v>
      </c>
    </row>
    <row r="58" spans="1:10" ht="15">
      <c r="A58" s="113" t="s">
        <v>197</v>
      </c>
      <c r="B58" s="114">
        <v>0.99979000004200003</v>
      </c>
      <c r="C58" s="128"/>
      <c r="D58" s="129"/>
      <c r="E58" s="115">
        <f>IFERROR(VLOOKUP("Po-214",$A$4:$J$32,3)*VLOOKUP("Po-214",Doses!$A$1:$O$40,8)*$B58,0)</f>
        <v>0</v>
      </c>
      <c r="F58" s="127">
        <f>IFERROR(VLOOKUP("Po-214",$A$4:$J$32,4)*VLOOKUP("Po-214",Doses!$A$1:$O$40,10)*$B58,0)</f>
        <v>1.3926008760095975E-7</v>
      </c>
      <c r="G58" s="117">
        <f t="shared" si="47"/>
        <v>1.3926008760095975E-7</v>
      </c>
      <c r="H58" s="115">
        <f t="shared" si="42"/>
        <v>0</v>
      </c>
      <c r="I58" s="116">
        <f t="shared" si="43"/>
        <v>5.1526232412355157E-9</v>
      </c>
      <c r="J58" s="117">
        <f t="shared" si="44"/>
        <v>5.1526232412355157E-9</v>
      </c>
    </row>
    <row r="59" spans="1:10" ht="15">
      <c r="A59" s="113" t="s">
        <v>198</v>
      </c>
      <c r="B59" s="114">
        <v>2.0999995799999999E-4</v>
      </c>
      <c r="C59" s="128"/>
      <c r="D59" s="129"/>
      <c r="E59" s="115">
        <f>IFERROR(VLOOKUP("Tl-210",$A$4:$J$32,3)*VLOOKUP("Tl-210",Doses!$A$1:$O$40,8)*$B59,0)</f>
        <v>0</v>
      </c>
      <c r="F59" s="127">
        <f>IFERROR(VLOOKUP("Tl-210",$A$4:$J$32,4)*VLOOKUP("Tl-210",Doses!$A$1:$O$40,10)*$B59,0)</f>
        <v>1.0160788650033644E-6</v>
      </c>
      <c r="G59" s="117">
        <f t="shared" si="47"/>
        <v>1.0160788650033644E-6</v>
      </c>
      <c r="H59" s="115">
        <f t="shared" si="42"/>
        <v>0</v>
      </c>
      <c r="I59" s="116">
        <f t="shared" si="43"/>
        <v>3.7594918005124523E-8</v>
      </c>
      <c r="J59" s="117">
        <f t="shared" si="44"/>
        <v>3.7594918005124523E-8</v>
      </c>
    </row>
    <row r="60" spans="1:10" ht="15">
      <c r="A60" s="113" t="s">
        <v>199</v>
      </c>
      <c r="B60" s="114">
        <v>1</v>
      </c>
      <c r="C60" s="128"/>
      <c r="D60" s="129"/>
      <c r="E60" s="115">
        <f>IFERROR(VLOOKUP("Pb-210",$A$4:$J$32,3)*VLOOKUP("Pb-210",Doses!$A$1:$O$40,8)*$B60,0)</f>
        <v>153.388125</v>
      </c>
      <c r="F60" s="127">
        <f>IFERROR(VLOOKUP("Pb-210",$A$4:$J$32,4)*VLOOKUP("Pb-210",Doses!$A$1:$O$40,10)*$B60,0)</f>
        <v>1.7264546938356166E-6</v>
      </c>
      <c r="G60" s="117">
        <f t="shared" si="47"/>
        <v>153.38812672645469</v>
      </c>
      <c r="H60" s="115">
        <f t="shared" si="42"/>
        <v>5.6753606250000059</v>
      </c>
      <c r="I60" s="116">
        <f t="shared" si="43"/>
        <v>6.3878823671917877E-8</v>
      </c>
      <c r="J60" s="117">
        <f t="shared" si="44"/>
        <v>5.6753606888788291</v>
      </c>
    </row>
    <row r="61" spans="1:10" ht="15">
      <c r="A61" s="113" t="s">
        <v>200</v>
      </c>
      <c r="B61" s="114">
        <v>1</v>
      </c>
      <c r="C61" s="128"/>
      <c r="D61" s="129"/>
      <c r="E61" s="115">
        <f>IFERROR(VLOOKUP("Bi-210",$A$4:$J$32,3)*VLOOKUP("Bi-210",Doses!$A$1:$O$40,8)*$B61,0)</f>
        <v>3.7138750000000003</v>
      </c>
      <c r="F61" s="127">
        <f>IFERROR(VLOOKUP("Bi-210",$A$4:$J$32,4)*VLOOKUP("Bi-210",Doses!$A$1:$O$40,10)*$B61,0)</f>
        <v>9.4570129726027396E-6</v>
      </c>
      <c r="G61" s="117">
        <f t="shared" si="47"/>
        <v>3.713884457012973</v>
      </c>
      <c r="H61" s="115">
        <f t="shared" si="42"/>
        <v>0.13741337500000014</v>
      </c>
      <c r="I61" s="116">
        <f t="shared" si="43"/>
        <v>3.4990947998630174E-7</v>
      </c>
      <c r="J61" s="117">
        <f t="shared" si="44"/>
        <v>0.13741372490948014</v>
      </c>
    </row>
    <row r="62" spans="1:10" ht="15">
      <c r="A62" s="113" t="s">
        <v>202</v>
      </c>
      <c r="B62" s="114">
        <v>1</v>
      </c>
      <c r="C62" s="128"/>
      <c r="D62" s="129"/>
      <c r="E62" s="115">
        <f>IFERROR(VLOOKUP("Po-210",$A$4:$J$32,3)*VLOOKUP("Po-210",Doses!$A$1:$O$40,8)*$B62,0)</f>
        <v>119.04750000000001</v>
      </c>
      <c r="F62" s="127">
        <f>IFERROR(VLOOKUP("Po-210",$A$4:$J$32,4)*VLOOKUP("Po-210",Doses!$A$1:$O$40,10)*$B62,0)</f>
        <v>1.631151462328767E-8</v>
      </c>
      <c r="G62" s="117">
        <f>SUM(E62:F62)</f>
        <v>119.04750001631153</v>
      </c>
      <c r="H62" s="115">
        <f t="shared" si="42"/>
        <v>4.404757500000005</v>
      </c>
      <c r="I62" s="116">
        <f t="shared" si="43"/>
        <v>6.0352604106164436E-10</v>
      </c>
      <c r="J62" s="117">
        <f t="shared" si="44"/>
        <v>4.4047575006035311</v>
      </c>
    </row>
    <row r="63" spans="1:10" ht="15">
      <c r="A63" s="113" t="s">
        <v>201</v>
      </c>
      <c r="B63" s="114">
        <v>1.9000000000000001E-8</v>
      </c>
      <c r="C63" s="128"/>
      <c r="D63" s="129"/>
      <c r="E63" s="115">
        <f>IFERROR(VLOOKUP("Hg-206",$A$4:$J$32,3)*VLOOKUP("Hg-206",Doses!$A$1:$O$40,8)*$B63,0)</f>
        <v>0</v>
      </c>
      <c r="F63" s="127">
        <f>IFERROR(VLOOKUP("Hg-206",$A$4:$J$32,4)*VLOOKUP("Hg-206",Doses!$A$1:$O$40,10)*$B63,0)</f>
        <v>3.8722436063013695E-12</v>
      </c>
      <c r="G63" s="117">
        <f t="shared" si="47"/>
        <v>3.8722436063013695E-12</v>
      </c>
      <c r="H63" s="115">
        <f t="shared" si="42"/>
        <v>0</v>
      </c>
      <c r="I63" s="116">
        <f t="shared" si="43"/>
        <v>1.4327301343315081E-13</v>
      </c>
      <c r="J63" s="117">
        <f t="shared" si="44"/>
        <v>1.4327301343315081E-13</v>
      </c>
    </row>
    <row r="64" spans="1:10" ht="15">
      <c r="A64" s="113" t="s">
        <v>203</v>
      </c>
      <c r="B64" s="114">
        <v>1.339E-6</v>
      </c>
      <c r="C64" s="128"/>
      <c r="D64" s="129"/>
      <c r="E64" s="115">
        <f>IFERROR(VLOOKUP("Tl-206",$A$4:$J$32,3)*VLOOKUP("Tl-206",Doses!$A$1:$O$40,8)*$B64,0)</f>
        <v>0</v>
      </c>
      <c r="F64" s="127">
        <f>IFERROR(VLOOKUP("Tl-206",$A$4:$J$32,4)*VLOOKUP("Tl-206",Doses!$A$1:$O$40,10)*$B64,0)</f>
        <v>1.9485222197732876E-11</v>
      </c>
      <c r="G64" s="117">
        <f t="shared" si="47"/>
        <v>1.9485222197732876E-11</v>
      </c>
      <c r="H64" s="115">
        <f t="shared" si="42"/>
        <v>0</v>
      </c>
      <c r="I64" s="116">
        <f t="shared" si="43"/>
        <v>7.2095322131611713E-13</v>
      </c>
      <c r="J64" s="117">
        <f t="shared" si="44"/>
        <v>7.2095322131611713E-13</v>
      </c>
    </row>
    <row r="65" spans="1:10" ht="15">
      <c r="A65" s="109" t="s">
        <v>31</v>
      </c>
      <c r="B65" s="109" t="s">
        <v>59</v>
      </c>
      <c r="C65" s="128"/>
      <c r="D65" s="130"/>
      <c r="E65" s="119">
        <f>SUM(E66:E78)</f>
        <v>276.81885462467505</v>
      </c>
      <c r="F65" s="126">
        <f t="shared" ref="F65:G65" si="48">SUM(F66:F78)</f>
        <v>3.0259558016465728E-3</v>
      </c>
      <c r="G65" s="121">
        <f t="shared" si="48"/>
        <v>276.82188058047666</v>
      </c>
      <c r="H65" s="119">
        <f t="shared" si="42"/>
        <v>10.242297621112987</v>
      </c>
      <c r="I65" s="120">
        <f t="shared" si="43"/>
        <v>1.119603646609233E-4</v>
      </c>
      <c r="J65" s="121">
        <f t="shared" si="44"/>
        <v>10.242409581477647</v>
      </c>
    </row>
    <row r="66" spans="1:10" ht="15">
      <c r="A66" s="113" t="s">
        <v>191</v>
      </c>
      <c r="B66" s="114">
        <v>1</v>
      </c>
      <c r="C66" s="128"/>
      <c r="D66" s="129"/>
      <c r="E66" s="115">
        <f>IFERROR(VLOOKUP("Rn-222",$A$4:$J$32,3)*VLOOKUP("Rn-222",Doses!$A$1:$O$40,8)*$B66,0)</f>
        <v>4.5031250000000002E-2</v>
      </c>
      <c r="F66" s="127">
        <f>IFERROR(VLOOKUP("Rn-222",$A$4:$J$32,4)*VLOOKUP("Rn-222",Doses!$A$1:$O$40,10)*$B66,0)</f>
        <v>6.3413304041095888E-7</v>
      </c>
      <c r="G66" s="117">
        <f t="shared" ref="G66:G67" si="49">SUM(E66:F66)</f>
        <v>4.5031884133040413E-2</v>
      </c>
      <c r="H66" s="115">
        <f t="shared" si="42"/>
        <v>1.6661562500000018E-3</v>
      </c>
      <c r="I66" s="116">
        <f t="shared" si="43"/>
        <v>2.3462922495205502E-8</v>
      </c>
      <c r="J66" s="117">
        <f t="shared" si="44"/>
        <v>1.6661797129224969E-3</v>
      </c>
    </row>
    <row r="67" spans="1:10" ht="15">
      <c r="A67" s="113" t="s">
        <v>192</v>
      </c>
      <c r="B67" s="114">
        <v>1</v>
      </c>
      <c r="C67" s="128"/>
      <c r="D67" s="129"/>
      <c r="E67" s="115">
        <f>IFERROR(VLOOKUP("Po-218",$A$4:$J$32,3)*VLOOKUP("Po-218",Doses!$A$1:$O$40,8)*$B67,0)</f>
        <v>5.2387499999999997E-2</v>
      </c>
      <c r="F67" s="127">
        <f>IFERROR(VLOOKUP("Po-218",$A$4:$J$32,4)*VLOOKUP("Po-218",Doses!$A$1:$O$40,10)*$B67,0)</f>
        <v>9.6036333287671233E-11</v>
      </c>
      <c r="G67" s="117">
        <f t="shared" si="49"/>
        <v>5.2387500096036328E-2</v>
      </c>
      <c r="H67" s="115">
        <f t="shared" si="42"/>
        <v>1.9383375000000017E-3</v>
      </c>
      <c r="I67" s="116">
        <f t="shared" si="43"/>
        <v>3.5533443316438391E-12</v>
      </c>
      <c r="J67" s="117">
        <f t="shared" si="44"/>
        <v>1.9383375035533462E-3</v>
      </c>
    </row>
    <row r="68" spans="1:10" ht="15">
      <c r="A68" s="113" t="s">
        <v>194</v>
      </c>
      <c r="B68" s="114">
        <v>2.0000000000000001E-4</v>
      </c>
      <c r="C68" s="128"/>
      <c r="D68" s="129"/>
      <c r="E68" s="115">
        <f>IFERROR(VLOOKUP("At-218",$A$4:$J$32,3)*VLOOKUP("At-218",Doses!$A$1:$O$40,8)*$B68,0)</f>
        <v>0</v>
      </c>
      <c r="F68" s="127">
        <f>IFERROR(VLOOKUP("At-218",$A$4:$J$32,4)*VLOOKUP("At-218",Doses!$A$1:$O$40,10)*$B68,0)</f>
        <v>7.1843974520547959E-12</v>
      </c>
      <c r="G68" s="117">
        <f>SUM(E68:F68)</f>
        <v>7.1843974520547959E-12</v>
      </c>
      <c r="H68" s="115">
        <f t="shared" si="42"/>
        <v>0</v>
      </c>
      <c r="I68" s="116">
        <f t="shared" si="43"/>
        <v>2.658227057260277E-13</v>
      </c>
      <c r="J68" s="117">
        <f t="shared" si="44"/>
        <v>2.658227057260277E-13</v>
      </c>
    </row>
    <row r="69" spans="1:10" ht="15">
      <c r="A69" s="113" t="s">
        <v>196</v>
      </c>
      <c r="B69" s="114">
        <v>1.9999999999999999E-7</v>
      </c>
      <c r="C69" s="128"/>
      <c r="D69" s="129"/>
      <c r="E69" s="115">
        <f>IFERROR(VLOOKUP("Rn-218",$A$4:$J$32,3)*VLOOKUP("Rn-218",Doses!$A$1:$O$40,8)*$B69,0)</f>
        <v>0</v>
      </c>
      <c r="F69" s="127">
        <f>IFERROR(VLOOKUP("Rn-218",$A$4:$J$32,4)*VLOOKUP("Rn-218",Doses!$A$1:$O$40,10)*$B69,0)</f>
        <v>2.4925460547945203E-13</v>
      </c>
      <c r="G69" s="117">
        <f>SUM(E69:F69)</f>
        <v>2.4925460547945203E-13</v>
      </c>
      <c r="H69" s="115">
        <f t="shared" si="42"/>
        <v>0</v>
      </c>
      <c r="I69" s="116">
        <f t="shared" si="43"/>
        <v>9.2224204027397348E-15</v>
      </c>
      <c r="J69" s="117">
        <f t="shared" si="44"/>
        <v>9.2224204027397348E-15</v>
      </c>
    </row>
    <row r="70" spans="1:10" ht="15">
      <c r="A70" s="113" t="s">
        <v>193</v>
      </c>
      <c r="B70" s="114">
        <v>0.99980000000000002</v>
      </c>
      <c r="C70" s="128"/>
      <c r="D70" s="129"/>
      <c r="E70" s="115">
        <f>IFERROR(VLOOKUP("Pb-214",$A$4:$J$32,3)*VLOOKUP("Pb-214",Doses!$A$1:$O$40,8)*$B70,0)</f>
        <v>0.32031092500000002</v>
      </c>
      <c r="F70" s="127">
        <f>IFERROR(VLOOKUP("Pb-214",$A$4:$J$32,4)*VLOOKUP("Pb-214",Doses!$A$1:$O$40,10)*$B70,0)</f>
        <v>4.0679011405849315E-4</v>
      </c>
      <c r="G70" s="117">
        <f t="shared" ref="G70:G75" si="50">SUM(E70:F70)</f>
        <v>0.3207177151140585</v>
      </c>
      <c r="H70" s="115">
        <f t="shared" si="42"/>
        <v>1.1851504225000012E-2</v>
      </c>
      <c r="I70" s="116">
        <f t="shared" si="43"/>
        <v>1.5051234220164262E-5</v>
      </c>
      <c r="J70" s="117">
        <f t="shared" si="44"/>
        <v>1.1866555459220177E-2</v>
      </c>
    </row>
    <row r="71" spans="1:10" ht="15">
      <c r="A71" s="113" t="s">
        <v>195</v>
      </c>
      <c r="B71" s="114">
        <v>0.99999979999999999</v>
      </c>
      <c r="C71" s="128"/>
      <c r="D71" s="129"/>
      <c r="E71" s="115">
        <f>IFERROR(VLOOKUP("Bi-214",$A$4:$J$32,3)*VLOOKUP("Bi-214",Doses!$A$1:$O$40,8)*$B71,0)</f>
        <v>0.25162494967499999</v>
      </c>
      <c r="F71" s="127">
        <f>IFERROR(VLOOKUP("Bi-214",$A$4:$J$32,4)*VLOOKUP("Bi-214",Doses!$A$1:$O$40,10)*$B71,0)</f>
        <v>2.6061763095865517E-3</v>
      </c>
      <c r="G71" s="117">
        <f t="shared" si="50"/>
        <v>0.25423112598458653</v>
      </c>
      <c r="H71" s="115">
        <f t="shared" si="42"/>
        <v>9.3101231379750082E-3</v>
      </c>
      <c r="I71" s="116">
        <f t="shared" si="43"/>
        <v>9.6428523454702509E-5</v>
      </c>
      <c r="J71" s="117">
        <f t="shared" si="44"/>
        <v>9.4065516614297105E-3</v>
      </c>
    </row>
    <row r="72" spans="1:10" ht="15">
      <c r="A72" s="113" t="s">
        <v>197</v>
      </c>
      <c r="B72" s="114">
        <v>0.99979000004200003</v>
      </c>
      <c r="C72" s="128"/>
      <c r="D72" s="129"/>
      <c r="E72" s="115">
        <f>IFERROR(VLOOKUP("Po-214",$A$4:$J$32,3)*VLOOKUP("Po-214",Doses!$A$1:$O$40,8)*$B72,0)</f>
        <v>0</v>
      </c>
      <c r="F72" s="127">
        <f>IFERROR(VLOOKUP("Po-214",$A$4:$J$32,4)*VLOOKUP("Po-214",Doses!$A$1:$O$40,10)*$B72,0)</f>
        <v>1.3926008760095975E-7</v>
      </c>
      <c r="G72" s="117">
        <f t="shared" si="50"/>
        <v>1.3926008760095975E-7</v>
      </c>
      <c r="H72" s="115">
        <f t="shared" si="42"/>
        <v>0</v>
      </c>
      <c r="I72" s="116">
        <f t="shared" si="43"/>
        <v>5.1526232412355157E-9</v>
      </c>
      <c r="J72" s="117">
        <f t="shared" si="44"/>
        <v>5.1526232412355157E-9</v>
      </c>
    </row>
    <row r="73" spans="1:10" ht="15">
      <c r="A73" s="113" t="s">
        <v>198</v>
      </c>
      <c r="B73" s="114">
        <v>2.0999995799999999E-4</v>
      </c>
      <c r="C73" s="128"/>
      <c r="D73" s="129"/>
      <c r="E73" s="115">
        <f>IFERROR(VLOOKUP("Tl-210",$A$4:$J$32,3)*VLOOKUP("Tl-210",Doses!$A$1:$O$40,8)*$B73,0)</f>
        <v>0</v>
      </c>
      <c r="F73" s="127">
        <f>IFERROR(VLOOKUP("Tl-210",$A$4:$J$32,4)*VLOOKUP("Tl-210",Doses!$A$1:$O$40,10)*$B73,0)</f>
        <v>1.0160788650033644E-6</v>
      </c>
      <c r="G73" s="117">
        <f t="shared" si="50"/>
        <v>1.0160788650033644E-6</v>
      </c>
      <c r="H73" s="115">
        <f t="shared" si="42"/>
        <v>0</v>
      </c>
      <c r="I73" s="116">
        <f t="shared" si="43"/>
        <v>3.7594918005124523E-8</v>
      </c>
      <c r="J73" s="117">
        <f t="shared" si="44"/>
        <v>3.7594918005124523E-8</v>
      </c>
    </row>
    <row r="74" spans="1:10" ht="15">
      <c r="A74" s="113" t="s">
        <v>199</v>
      </c>
      <c r="B74" s="114">
        <v>1</v>
      </c>
      <c r="C74" s="128"/>
      <c r="D74" s="129"/>
      <c r="E74" s="115">
        <f>IFERROR(VLOOKUP("Pb-210",$A$4:$J$32,3)*VLOOKUP("Pb-210",Doses!$A$1:$O$40,8)*$B74,0)</f>
        <v>153.388125</v>
      </c>
      <c r="F74" s="127">
        <f>IFERROR(VLOOKUP("Pb-210",$A$4:$J$32,4)*VLOOKUP("Pb-210",Doses!$A$1:$O$40,10)*$B74,0)</f>
        <v>1.7264546938356166E-6</v>
      </c>
      <c r="G74" s="117">
        <f t="shared" si="50"/>
        <v>153.38812672645469</v>
      </c>
      <c r="H74" s="115">
        <f t="shared" si="42"/>
        <v>5.6753606250000059</v>
      </c>
      <c r="I74" s="116">
        <f t="shared" si="43"/>
        <v>6.3878823671917877E-8</v>
      </c>
      <c r="J74" s="117">
        <f t="shared" si="44"/>
        <v>5.6753606888788291</v>
      </c>
    </row>
    <row r="75" spans="1:10" ht="15">
      <c r="A75" s="113" t="s">
        <v>200</v>
      </c>
      <c r="B75" s="114">
        <v>1</v>
      </c>
      <c r="C75" s="128"/>
      <c r="D75" s="129"/>
      <c r="E75" s="115">
        <f>IFERROR(VLOOKUP("Bi-210",$A$4:$J$32,3)*VLOOKUP("Bi-210",Doses!$A$1:$O$40,8)*$B75,0)</f>
        <v>3.7138750000000003</v>
      </c>
      <c r="F75" s="127">
        <f>IFERROR(VLOOKUP("Bi-210",$A$4:$J$32,4)*VLOOKUP("Bi-210",Doses!$A$1:$O$40,10)*$B75,0)</f>
        <v>9.4570129726027396E-6</v>
      </c>
      <c r="G75" s="117">
        <f t="shared" si="50"/>
        <v>3.713884457012973</v>
      </c>
      <c r="H75" s="115">
        <f t="shared" si="42"/>
        <v>0.13741337500000014</v>
      </c>
      <c r="I75" s="116">
        <f t="shared" si="43"/>
        <v>3.4990947998630174E-7</v>
      </c>
      <c r="J75" s="117">
        <f t="shared" si="44"/>
        <v>0.13741372490948014</v>
      </c>
    </row>
    <row r="76" spans="1:10" ht="15">
      <c r="A76" s="113" t="s">
        <v>202</v>
      </c>
      <c r="B76" s="114">
        <v>1</v>
      </c>
      <c r="C76" s="128"/>
      <c r="D76" s="129"/>
      <c r="E76" s="115">
        <f>IFERROR(VLOOKUP("Po-210",$A$4:$J$32,3)*VLOOKUP("Po-210",Doses!$A$1:$O$40,8)*$B76,0)</f>
        <v>119.04750000000001</v>
      </c>
      <c r="F76" s="127">
        <f>IFERROR(VLOOKUP("Po-210",$A$4:$J$32,4)*VLOOKUP("Po-210",Doses!$A$1:$O$40,10)*$B76,0)</f>
        <v>1.631151462328767E-8</v>
      </c>
      <c r="G76" s="117">
        <f>SUM(E76:F76)</f>
        <v>119.04750001631153</v>
      </c>
      <c r="H76" s="115">
        <f t="shared" si="42"/>
        <v>4.404757500000005</v>
      </c>
      <c r="I76" s="116">
        <f t="shared" si="43"/>
        <v>6.0352604106164436E-10</v>
      </c>
      <c r="J76" s="117">
        <f t="shared" si="44"/>
        <v>4.4047575006035311</v>
      </c>
    </row>
    <row r="77" spans="1:10" ht="15">
      <c r="A77" s="113" t="s">
        <v>201</v>
      </c>
      <c r="B77" s="114">
        <v>1.9000000000000001E-8</v>
      </c>
      <c r="C77" s="128"/>
      <c r="D77" s="129"/>
      <c r="E77" s="115">
        <f>IFERROR(VLOOKUP("Hg-206",$A$4:$J$32,3)*VLOOKUP("Hg-206",Doses!$A$1:$O$40,8)*$B77,0)</f>
        <v>0</v>
      </c>
      <c r="F77" s="127">
        <f>IFERROR(VLOOKUP("Hg-206",$A$4:$J$32,4)*VLOOKUP("Hg-206",Doses!$A$1:$O$40,10)*$B77,0)</f>
        <v>3.8722436063013695E-12</v>
      </c>
      <c r="G77" s="117">
        <f t="shared" ref="G77:G78" si="51">SUM(E77:F77)</f>
        <v>3.8722436063013695E-12</v>
      </c>
      <c r="H77" s="115">
        <f t="shared" si="42"/>
        <v>0</v>
      </c>
      <c r="I77" s="116">
        <f t="shared" si="43"/>
        <v>1.4327301343315081E-13</v>
      </c>
      <c r="J77" s="117">
        <f t="shared" si="44"/>
        <v>1.4327301343315081E-13</v>
      </c>
    </row>
    <row r="78" spans="1:10" ht="15">
      <c r="A78" s="113" t="s">
        <v>203</v>
      </c>
      <c r="B78" s="114">
        <v>1.339E-6</v>
      </c>
      <c r="C78" s="128"/>
      <c r="D78" s="129"/>
      <c r="E78" s="115">
        <f>IFERROR(VLOOKUP("Tl-206",$A$4:$J$32,3)*VLOOKUP("Tl-206",Doses!$A$1:$O$40,8)*$B78,0)</f>
        <v>0</v>
      </c>
      <c r="F78" s="127">
        <f>IFERROR(VLOOKUP("Tl-206",$A$4:$J$32,4)*VLOOKUP("Tl-206",Doses!$A$1:$O$40,10)*$B78,0)</f>
        <v>1.9485222197732876E-11</v>
      </c>
      <c r="G78" s="117">
        <f t="shared" si="51"/>
        <v>1.9485222197732876E-11</v>
      </c>
      <c r="H78" s="115">
        <f t="shared" si="42"/>
        <v>0</v>
      </c>
      <c r="I78" s="116">
        <f t="shared" si="43"/>
        <v>7.2095322131611713E-13</v>
      </c>
      <c r="J78" s="117">
        <f t="shared" si="44"/>
        <v>7.2095322131611713E-13</v>
      </c>
    </row>
  </sheetData>
  <sheetProtection algorithmName="SHA-512" hashValue="8b7OwWx4ZFW/BWgnDCK7nvUMZLVXYZ5CchAbSiuKbk8QYVYMiCDZwcTDbizAPTX6hgSIPbD8ifB3LLC5sLtfCg==" saltValue="RUeJXbMixLkKOgPa9LAP1A==" spinCount="100000" sheet="1" formatCells="0" formatColumns="0" formatRows="0" insertColumns="0" insertRows="0" autoFilter="0"/>
  <autoFilter ref="A2:J78" xr:uid="{00000000-0009-0000-0000-000015000000}"/>
  <mergeCells count="3">
    <mergeCell ref="E1:G1"/>
    <mergeCell ref="H1:J1"/>
    <mergeCell ref="C1:D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tint="0.79998168889431442"/>
  </sheetPr>
  <dimension ref="A1:Q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42578125" style="22" bestFit="1" customWidth="1"/>
    <col min="4" max="4" width="15.7109375" style="22" bestFit="1" customWidth="1"/>
    <col min="5" max="6" width="16.42578125" style="22" bestFit="1" customWidth="1"/>
    <col min="7" max="7" width="17.42578125" style="22" bestFit="1" customWidth="1"/>
    <col min="8" max="8" width="15.42578125" style="22" bestFit="1" customWidth="1"/>
    <col min="9" max="9" width="15.7109375" style="22" bestFit="1" customWidth="1"/>
    <col min="10" max="11" width="16.42578125" style="22" bestFit="1" customWidth="1"/>
    <col min="12" max="12" width="17.42578125" style="22" bestFit="1" customWidth="1"/>
    <col min="13" max="13" width="15.42578125" style="22" bestFit="1" customWidth="1"/>
    <col min="14" max="14" width="15.7109375" style="22" bestFit="1" customWidth="1"/>
    <col min="15" max="16" width="16.42578125" style="22" bestFit="1" customWidth="1"/>
    <col min="17" max="17" width="17.42578125" style="22" bestFit="1" customWidth="1"/>
  </cols>
  <sheetData>
    <row r="1" spans="1:17" ht="13.5" thickBot="1">
      <c r="C1" s="148" t="s">
        <v>274</v>
      </c>
      <c r="D1" s="149"/>
      <c r="E1" s="149"/>
      <c r="F1" s="149"/>
      <c r="G1" s="150"/>
      <c r="H1" s="148" t="s">
        <v>61</v>
      </c>
      <c r="I1" s="149"/>
      <c r="J1" s="149"/>
      <c r="K1" s="149"/>
      <c r="L1" s="150"/>
      <c r="M1" s="148" t="s">
        <v>138</v>
      </c>
      <c r="N1" s="149"/>
      <c r="O1" s="149"/>
      <c r="P1" s="149"/>
      <c r="Q1" s="150"/>
    </row>
    <row r="2" spans="1:17">
      <c r="A2" s="11" t="s">
        <v>0</v>
      </c>
      <c r="B2" s="11" t="s">
        <v>43</v>
      </c>
      <c r="C2" s="23" t="s">
        <v>154</v>
      </c>
      <c r="D2" s="24" t="s">
        <v>155</v>
      </c>
      <c r="E2" s="24" t="s">
        <v>156</v>
      </c>
      <c r="F2" s="24" t="s">
        <v>157</v>
      </c>
      <c r="G2" s="25" t="s">
        <v>158</v>
      </c>
      <c r="H2" s="23" t="s">
        <v>154</v>
      </c>
      <c r="I2" s="24" t="s">
        <v>155</v>
      </c>
      <c r="J2" s="24" t="s">
        <v>156</v>
      </c>
      <c r="K2" s="24" t="s">
        <v>157</v>
      </c>
      <c r="L2" s="25" t="s">
        <v>158</v>
      </c>
      <c r="M2" s="23" t="s">
        <v>154</v>
      </c>
      <c r="N2" s="24" t="s">
        <v>155</v>
      </c>
      <c r="O2" s="24" t="s">
        <v>156</v>
      </c>
      <c r="P2" s="24" t="s">
        <v>157</v>
      </c>
      <c r="Q2" s="25" t="s">
        <v>158</v>
      </c>
    </row>
    <row r="3" spans="1:17" ht="13.5" thickBot="1">
      <c r="B3" s="26" t="s">
        <v>44</v>
      </c>
      <c r="C3" s="98" t="s">
        <v>265</v>
      </c>
      <c r="D3" s="125" t="s">
        <v>265</v>
      </c>
      <c r="E3" s="125" t="s">
        <v>265</v>
      </c>
      <c r="F3" s="125" t="s">
        <v>265</v>
      </c>
      <c r="G3" s="99" t="s">
        <v>265</v>
      </c>
      <c r="H3" s="105" t="s">
        <v>266</v>
      </c>
      <c r="I3" s="106" t="s">
        <v>266</v>
      </c>
      <c r="J3" s="106" t="s">
        <v>266</v>
      </c>
      <c r="K3" s="106" t="s">
        <v>266</v>
      </c>
      <c r="L3" s="107" t="s">
        <v>266</v>
      </c>
      <c r="M3" s="105" t="s">
        <v>266</v>
      </c>
      <c r="N3" s="106" t="s">
        <v>266</v>
      </c>
      <c r="O3" s="106" t="s">
        <v>266</v>
      </c>
      <c r="P3" s="106" t="s">
        <v>266</v>
      </c>
      <c r="Q3" s="107" t="s">
        <v>266</v>
      </c>
    </row>
    <row r="4" spans="1:17">
      <c r="A4" s="87" t="s">
        <v>23</v>
      </c>
      <c r="B4" s="12" t="s">
        <v>59</v>
      </c>
      <c r="C4" s="132">
        <f>s_C*s_EFiw*(1/365)*s_ETiw*(1/24)*Isospec!M3*s_Fin*s_Fi*s_Fam*s_Foff*s_GSFb</f>
        <v>0.30090027071826486</v>
      </c>
      <c r="D4" s="132">
        <f>s_C*s_EFiw*(1/365)*s_ETiw*(1/24)*Isospec!L3*s_Fin*s_Fi*s_Fam*s_Foff*s_GSFb</f>
        <v>0.948419171325799</v>
      </c>
      <c r="E4" s="132">
        <f>s_C*s_EFiw*(1/365)*s_ETiw*(1/24)*Isospec!N3*s_Fin*s_Fi*s_Fam*s_Foff*s_GSFb</f>
        <v>0.57058683790216891</v>
      </c>
      <c r="F4" s="132">
        <f>s_C*s_EFiw*(1/365)*s_ETiw*(1/24)*Isospec!O3*s_Fin*s_Fi*s_Fam*s_Foff*s_GSFb</f>
        <v>0.59772688047956624</v>
      </c>
      <c r="G4" s="132">
        <f>s_C*s_EFiw*(1/365)*s_ETiw*(1/24)*Isospec!P3*s_Fin*s_Fi*s_Fam*s_Foff*s_GSFb</f>
        <v>0.50484316284178077</v>
      </c>
      <c r="H4" s="2">
        <f>C4*Doses!I2</f>
        <v>1.5906912271358639E-2</v>
      </c>
      <c r="I4" s="3">
        <f>D4*Doses!L2</f>
        <v>1.4634866548894138E-2</v>
      </c>
      <c r="J4" s="3">
        <f>E4*Doses!M2</f>
        <v>8.3243370251017742E-3</v>
      </c>
      <c r="K4" s="3">
        <f>F4*Doses!N2</f>
        <v>2.2777697779810927E-2</v>
      </c>
      <c r="L4" s="5">
        <f>G4*Doses!O2</f>
        <v>2.5933793275182276E-2</v>
      </c>
      <c r="M4" s="2">
        <f t="shared" ref="M4:Q4" si="0">IFERROR(H4/_1_bq,".")</f>
        <v>5.8855575404027026E-4</v>
      </c>
      <c r="N4" s="3">
        <f t="shared" si="0"/>
        <v>5.4149006230908361E-4</v>
      </c>
      <c r="O4" s="3">
        <f t="shared" si="0"/>
        <v>3.0800046992876594E-4</v>
      </c>
      <c r="P4" s="3">
        <f t="shared" si="0"/>
        <v>8.4277481785300517E-4</v>
      </c>
      <c r="Q4" s="5">
        <f t="shared" si="0"/>
        <v>9.5955035118174524E-4</v>
      </c>
    </row>
    <row r="5" spans="1:17">
      <c r="A5" s="88" t="s">
        <v>14</v>
      </c>
      <c r="B5" s="12" t="s">
        <v>44</v>
      </c>
      <c r="C5" s="132">
        <f>s_C*s_EFiw*(1/365)*s_ETiw*(1/24)*Isospec!M4*s_Fin*s_Fi*s_Fam*s_Foff*s_GSFb</f>
        <v>0.58817687385730599</v>
      </c>
      <c r="D5" s="132">
        <f>s_C*s_EFiw*(1/365)*s_ETiw*(1/24)*Isospec!L4*s_Fin*s_Fi*s_Fam*s_Foff*s_GSFb</f>
        <v>1.3352663081514795</v>
      </c>
      <c r="E5" s="132">
        <f>s_C*s_EFiw*(1/365)*s_ETiw*(1/24)*Isospec!N4*s_Fin*s_Fi*s_Fam*s_Foff*s_GSFb</f>
        <v>1.3752890670271074</v>
      </c>
      <c r="F5" s="132">
        <f>s_C*s_EFiw*(1/365)*s_ETiw*(1/24)*Isospec!O4*s_Fin*s_Fi*s_Fam*s_Foff*s_GSFb</f>
        <v>1.2391936453102879</v>
      </c>
      <c r="G5" s="132">
        <f>s_C*s_EFiw*(1/365)*s_ETiw*(1/24)*Isospec!P4*s_Fin*s_Fi*s_Fam*s_Foff*s_GSFb</f>
        <v>0.79491386010521248</v>
      </c>
      <c r="H5" s="2">
        <f>C5*Doses!I3</f>
        <v>2.1864416567272411E-2</v>
      </c>
      <c r="I5" s="3">
        <f>D5*Doses!L3</f>
        <v>3.4028193650193932E-2</v>
      </c>
      <c r="J5" s="3">
        <f>E5*Doses!M3</f>
        <v>2.517659177662504E-2</v>
      </c>
      <c r="K5" s="3">
        <f>F5*Doses!N3</f>
        <v>4.2824053994632925E-2</v>
      </c>
      <c r="L5" s="5">
        <f>G5*Doses!O3</f>
        <v>2.9549491904463088E-2</v>
      </c>
      <c r="M5" s="2">
        <f t="shared" ref="M5:Q7" si="1">IFERROR(H5/_1_bq,".")</f>
        <v>8.0898341298907999E-4</v>
      </c>
      <c r="N5" s="3">
        <f t="shared" si="1"/>
        <v>1.2590431650571767E-3</v>
      </c>
      <c r="O5" s="3">
        <f t="shared" si="1"/>
        <v>9.3153389573512747E-4</v>
      </c>
      <c r="P5" s="3">
        <f t="shared" si="1"/>
        <v>1.58448999780142E-3</v>
      </c>
      <c r="Q5" s="5">
        <f t="shared" si="1"/>
        <v>1.0933312004651353E-3</v>
      </c>
    </row>
    <row r="6" spans="1:17">
      <c r="A6" s="87" t="s">
        <v>15</v>
      </c>
      <c r="B6" s="12" t="s">
        <v>59</v>
      </c>
      <c r="C6" s="132">
        <f>s_C*s_EFiw*(1/365)*s_ETiw*(1/24)*Isospec!M5*s_Fin*s_Fi*s_Fam*s_Foff*s_GSFb</f>
        <v>1.5931142640981735E-3</v>
      </c>
      <c r="D6" s="132">
        <f>s_C*s_EFiw*(1/365)*s_ETiw*(1/24)*Isospec!L5*s_Fin*s_Fi*s_Fam*s_Foff*s_GSFb</f>
        <v>1.8629554390057078E-3</v>
      </c>
      <c r="E6" s="132">
        <f>s_C*s_EFiw*(1/365)*s_ETiw*(1/24)*Isospec!N5*s_Fin*s_Fi*s_Fam*s_Foff*s_GSFb</f>
        <v>1.9694520667488586E-3</v>
      </c>
      <c r="F6" s="132">
        <f>s_C*s_EFiw*(1/365)*s_ETiw*(1/24)*Isospec!O5*s_Fin*s_Fi*s_Fam*s_Foff*s_GSFb</f>
        <v>1.8788143985981735E-3</v>
      </c>
      <c r="G6" s="132">
        <f>s_C*s_EFiw*(1/365)*s_ETiw*(1/24)*Isospec!P5*s_Fin*s_Fi*s_Fam*s_Foff*s_GSFb</f>
        <v>1.6834187209018266E-3</v>
      </c>
      <c r="H6" s="2">
        <f>C6*Doses!I4</f>
        <v>1.8897202777879715E-6</v>
      </c>
      <c r="I6" s="3">
        <f>D6*Doses!L4</f>
        <v>4.9435944416087171E-7</v>
      </c>
      <c r="J6" s="3">
        <f>E6*Doses!M4</f>
        <v>5.2976685033890902E-7</v>
      </c>
      <c r="K6" s="3">
        <f>F6*Doses!N4</f>
        <v>1.410869369225718E-6</v>
      </c>
      <c r="L6" s="5">
        <f>G6*Doses!O4</f>
        <v>1.8679079453628995E-6</v>
      </c>
      <c r="M6" s="2">
        <f t="shared" si="1"/>
        <v>6.9919650278155013E-8</v>
      </c>
      <c r="N6" s="3">
        <f t="shared" si="1"/>
        <v>1.8291299433952271E-8</v>
      </c>
      <c r="O6" s="3">
        <f t="shared" si="1"/>
        <v>1.9601373462539653E-8</v>
      </c>
      <c r="P6" s="3">
        <f t="shared" si="1"/>
        <v>5.2202166661351619E-8</v>
      </c>
      <c r="Q6" s="5">
        <f t="shared" si="1"/>
        <v>6.9112593978427356E-8</v>
      </c>
    </row>
    <row r="7" spans="1:17">
      <c r="A7" s="87" t="s">
        <v>16</v>
      </c>
      <c r="B7" s="89" t="s">
        <v>59</v>
      </c>
      <c r="C7" s="132">
        <f>s_C*s_EFiw*(1/365)*s_ETiw*(1/24)*Isospec!M6*s_Fin*s_Fi*s_Fam*s_Foff*s_GSFb</f>
        <v>0</v>
      </c>
      <c r="D7" s="132">
        <f>s_C*s_EFiw*(1/365)*s_ETiw*(1/24)*Isospec!L6*s_Fin*s_Fi*s_Fam*s_Foff*s_GSFb</f>
        <v>0</v>
      </c>
      <c r="E7" s="132">
        <f>s_C*s_EFiw*(1/365)*s_ETiw*(1/24)*Isospec!N6*s_Fin*s_Fi*s_Fam*s_Foff*s_GSFb</f>
        <v>0</v>
      </c>
      <c r="F7" s="132">
        <f>s_C*s_EFiw*(1/365)*s_ETiw*(1/24)*Isospec!O6*s_Fin*s_Fi*s_Fam*s_Foff*s_GSFb</f>
        <v>0</v>
      </c>
      <c r="G7" s="132">
        <f>s_C*s_EFiw*(1/365)*s_ETiw*(1/24)*Isospec!P6*s_Fin*s_Fi*s_Fam*s_Foff*s_GSFb</f>
        <v>0</v>
      </c>
      <c r="H7" s="2">
        <f>C7*Doses!I5</f>
        <v>0</v>
      </c>
      <c r="I7" s="3">
        <f>D7*Doses!L5</f>
        <v>0</v>
      </c>
      <c r="J7" s="3">
        <f>E7*Doses!M5</f>
        <v>0</v>
      </c>
      <c r="K7" s="3">
        <f>F7*Doses!N5</f>
        <v>0</v>
      </c>
      <c r="L7" s="5">
        <f>G7*Doses!O5</f>
        <v>0</v>
      </c>
      <c r="M7" s="2">
        <f t="shared" si="1"/>
        <v>0</v>
      </c>
      <c r="N7" s="3">
        <f t="shared" si="1"/>
        <v>0</v>
      </c>
      <c r="O7" s="3">
        <f t="shared" si="1"/>
        <v>0</v>
      </c>
      <c r="P7" s="3">
        <f t="shared" si="1"/>
        <v>0</v>
      </c>
      <c r="Q7" s="5">
        <f t="shared" si="1"/>
        <v>0</v>
      </c>
    </row>
    <row r="8" spans="1:17">
      <c r="A8" s="87" t="s">
        <v>18</v>
      </c>
      <c r="B8" s="12" t="s">
        <v>59</v>
      </c>
      <c r="C8" s="132">
        <f>s_C*s_EFiw*(1/365)*s_ETiw*(1/24)*Isospec!M7*s_Fin*s_Fi*s_Fam*s_Foff*s_GSFb</f>
        <v>1.5808660531621006</v>
      </c>
      <c r="D8" s="132">
        <f>s_C*s_EFiw*(1/365)*s_ETiw*(1/24)*Isospec!L7*s_Fin*s_Fi*s_Fam*s_Foff*s_GSFb</f>
        <v>1.1578532932886987</v>
      </c>
      <c r="E8" s="132">
        <f>s_C*s_EFiw*(1/365)*s_ETiw*(1/24)*Isospec!N7*s_Fin*s_Fi*s_Fam*s_Foff*s_GSFb</f>
        <v>1.5193251512146118</v>
      </c>
      <c r="F8" s="132">
        <f>s_C*s_EFiw*(1/365)*s_ETiw*(1/24)*Isospec!O7*s_Fin*s_Fi*s_Fam*s_Foff*s_GSFb</f>
        <v>1.6381736172773973</v>
      </c>
      <c r="G8" s="132">
        <f>s_C*s_EFiw*(1/365)*s_ETiw*(1/24)*Isospec!P7*s_Fin*s_Fi*s_Fam*s_Foff*s_GSFb</f>
        <v>1.3044325851860732</v>
      </c>
      <c r="H8" s="2">
        <f>C8*Doses!I6</f>
        <v>5.3450345950253153</v>
      </c>
      <c r="I8" s="3">
        <f>D8*Doses!L6</f>
        <v>0.78098709841604008</v>
      </c>
      <c r="J8" s="3">
        <f>E8*Doses!M6</f>
        <v>1.0217157776888022</v>
      </c>
      <c r="K8" s="3">
        <f>F8*Doses!N6</f>
        <v>3.1519115665864033</v>
      </c>
      <c r="L8" s="5">
        <f>G8*Doses!O6</f>
        <v>3.9230549112954116</v>
      </c>
      <c r="M8" s="2">
        <f t="shared" ref="M8:Q9" si="2">IFERROR(H8/_1_bq,".")</f>
        <v>0.19776628001593688</v>
      </c>
      <c r="N8" s="3">
        <f t="shared" si="2"/>
        <v>2.8896522641393512E-2</v>
      </c>
      <c r="O8" s="3">
        <f t="shared" si="2"/>
        <v>3.7803483774485717E-2</v>
      </c>
      <c r="P8" s="3">
        <f t="shared" si="2"/>
        <v>0.11662072796369703</v>
      </c>
      <c r="Q8" s="5">
        <f t="shared" si="2"/>
        <v>0.14515303171793037</v>
      </c>
    </row>
    <row r="9" spans="1:17">
      <c r="A9" s="87" t="s">
        <v>19</v>
      </c>
      <c r="B9" s="90" t="s">
        <v>59</v>
      </c>
      <c r="C9" s="132">
        <f>s_C*s_EFiw*(1/365)*s_ETiw*(1/24)*Isospec!M8*s_Fin*s_Fi*s_Fam*s_Foff*s_GSFb</f>
        <v>1.9607602604634704E-6</v>
      </c>
      <c r="D9" s="132">
        <f>s_C*s_EFiw*(1/365)*s_ETiw*(1/24)*Isospec!L8*s_Fin*s_Fi*s_Fam*s_Foff*s_GSFb</f>
        <v>1.9901825722819632E-6</v>
      </c>
      <c r="E9" s="132">
        <f>s_C*s_EFiw*(1/365)*s_ETiw*(1/24)*Isospec!N8*s_Fin*s_Fi*s_Fam*s_Foff*s_GSFb</f>
        <v>2.315692763359589E-6</v>
      </c>
      <c r="F9" s="132">
        <f>s_C*s_EFiw*(1/365)*s_ETiw*(1/24)*Isospec!O8*s_Fin*s_Fi*s_Fam*s_Foff*s_GSFb</f>
        <v>2.3168246686586758E-6</v>
      </c>
      <c r="G9" s="132">
        <f>s_C*s_EFiw*(1/365)*s_ETiw*(1/24)*Isospec!P8*s_Fin*s_Fi*s_Fam*s_Foff*s_GSFb</f>
        <v>1.963032993204338E-6</v>
      </c>
      <c r="H9" s="2">
        <f>C9*Doses!I7</f>
        <v>1.0731711487979084E-8</v>
      </c>
      <c r="I9" s="3">
        <f>D9*Doses!L7</f>
        <v>8.1660972287616294E-8</v>
      </c>
      <c r="J9" s="3">
        <f>E9*Doses!M7</f>
        <v>7.2671996576855971E-9</v>
      </c>
      <c r="K9" s="3">
        <f>F9*Doses!N7</f>
        <v>1.0516623208962207E-8</v>
      </c>
      <c r="L9" s="5">
        <f>G9*Doses!O7</f>
        <v>1.052413396184737E-8</v>
      </c>
      <c r="M9" s="2">
        <f t="shared" si="2"/>
        <v>3.9707332505522654E-10</v>
      </c>
      <c r="N9" s="3">
        <f t="shared" si="2"/>
        <v>3.021455974641806E-9</v>
      </c>
      <c r="O9" s="3">
        <f t="shared" si="2"/>
        <v>2.6888638733436734E-10</v>
      </c>
      <c r="P9" s="3">
        <f t="shared" si="2"/>
        <v>3.8911505873160204E-10</v>
      </c>
      <c r="Q9" s="5">
        <f t="shared" si="2"/>
        <v>3.8939295658835306E-10</v>
      </c>
    </row>
    <row r="10" spans="1:17">
      <c r="A10" s="87" t="s">
        <v>20</v>
      </c>
      <c r="B10" s="12" t="s">
        <v>59</v>
      </c>
      <c r="C10" s="132">
        <f>s_C*s_EFiw*(1/365)*s_ETiw*(1/24)*Isospec!M9*s_Fin*s_Fi*s_Fam*s_Foff*s_GSFb</f>
        <v>0.52010532823710043</v>
      </c>
      <c r="D10" s="132">
        <f>s_C*s_EFiw*(1/365)*s_ETiw*(1/24)*Isospec!L9*s_Fin*s_Fi*s_Fam*s_Foff*s_GSFb</f>
        <v>0.45325704488744289</v>
      </c>
      <c r="E10" s="132">
        <f>s_C*s_EFiw*(1/365)*s_ETiw*(1/24)*Isospec!N9*s_Fin*s_Fi*s_Fam*s_Foff*s_GSFb</f>
        <v>0.53411474663538805</v>
      </c>
      <c r="F10" s="132">
        <f>s_C*s_EFiw*(1/365)*s_ETiw*(1/24)*Isospec!O9*s_Fin*s_Fi*s_Fam*s_Foff*s_GSFb</f>
        <v>0.57784360947751146</v>
      </c>
      <c r="G10" s="132">
        <f>s_C*s_EFiw*(1/365)*s_ETiw*(1/24)*Isospec!P9*s_Fin*s_Fi*s_Fam*s_Foff*s_GSFb</f>
        <v>0.50291284846426931</v>
      </c>
      <c r="H10" s="2">
        <f>C10*Doses!I8</f>
        <v>0.35753288515806053</v>
      </c>
      <c r="I10" s="3">
        <f>D10*Doses!L8</f>
        <v>8.6896627617640998E-2</v>
      </c>
      <c r="J10" s="3">
        <f>E10*Doses!M8</f>
        <v>7.9319244563834934E-2</v>
      </c>
      <c r="K10" s="3">
        <f>F10*Doses!N8</f>
        <v>0.23962943347588608</v>
      </c>
      <c r="L10" s="5">
        <f>G10*Doses!O8</f>
        <v>0.31659168471383292</v>
      </c>
      <c r="M10" s="2">
        <f t="shared" ref="M10:Q11" si="3">IFERROR(H10/_1_bq,".")</f>
        <v>1.3228716750848253E-2</v>
      </c>
      <c r="N10" s="3">
        <f t="shared" si="3"/>
        <v>3.21517522185272E-3</v>
      </c>
      <c r="O10" s="3">
        <f t="shared" si="3"/>
        <v>2.9348120488618956E-3</v>
      </c>
      <c r="P10" s="3">
        <f t="shared" si="3"/>
        <v>8.8662890386077935E-3</v>
      </c>
      <c r="Q10" s="5">
        <f t="shared" si="3"/>
        <v>1.171389233441183E-2</v>
      </c>
    </row>
    <row r="11" spans="1:17">
      <c r="A11" s="87" t="s">
        <v>21</v>
      </c>
      <c r="B11" s="90" t="s">
        <v>59</v>
      </c>
      <c r="C11" s="132">
        <f>s_C*s_EFiw*(1/365)*s_ETiw*(1/24)*Isospec!M10*s_Fin*s_Fi*s_Fam*s_Foff*s_GSFb</f>
        <v>2.306907313760274</v>
      </c>
      <c r="D11" s="132">
        <f>s_C*s_EFiw*(1/365)*s_ETiw*(1/24)*Isospec!L10*s_Fin*s_Fi*s_Fam*s_Foff*s_GSFb</f>
        <v>1.5819470080936073</v>
      </c>
      <c r="E11" s="132">
        <f>s_C*s_EFiw*(1/365)*s_ETiw*(1/24)*Isospec!N10*s_Fin*s_Fi*s_Fam*s_Foff*s_GSFb</f>
        <v>2.0948087567226028</v>
      </c>
      <c r="F11" s="132">
        <f>s_C*s_EFiw*(1/365)*s_ETiw*(1/24)*Isospec!O10*s_Fin*s_Fi*s_Fam*s_Foff*s_GSFb</f>
        <v>2.1765779374166665</v>
      </c>
      <c r="G11" s="132">
        <f>s_C*s_EFiw*(1/365)*s_ETiw*(1/24)*Isospec!P10*s_Fin*s_Fi*s_Fam*s_Foff*s_GSFb</f>
        <v>1.8225872050833334</v>
      </c>
      <c r="H11" s="2">
        <f>C11*Doses!I9</f>
        <v>21.072490995689499</v>
      </c>
      <c r="I11" s="3">
        <f>D11*Doses!L9</f>
        <v>2.6260003944952262</v>
      </c>
      <c r="J11" s="3">
        <f>E11*Doses!M9</f>
        <v>3.4122256045904207</v>
      </c>
      <c r="K11" s="3">
        <f>F11*Doses!N9</f>
        <v>10.24593591947772</v>
      </c>
      <c r="L11" s="5">
        <f>G11*Doses!O9</f>
        <v>13.890739028310319</v>
      </c>
      <c r="M11" s="2">
        <f t="shared" si="3"/>
        <v>0.77968216684051228</v>
      </c>
      <c r="N11" s="3">
        <f t="shared" si="3"/>
        <v>9.7162014596323468E-2</v>
      </c>
      <c r="O11" s="3">
        <f t="shared" si="3"/>
        <v>0.1262523473698457</v>
      </c>
      <c r="P11" s="3">
        <f t="shared" si="3"/>
        <v>0.37909962902067601</v>
      </c>
      <c r="Q11" s="5">
        <f t="shared" si="3"/>
        <v>0.51395734404748239</v>
      </c>
    </row>
    <row r="12" spans="1:17">
      <c r="A12" s="88" t="s">
        <v>17</v>
      </c>
      <c r="B12" s="12" t="s">
        <v>44</v>
      </c>
      <c r="C12" s="132">
        <f>s_C*s_EFiw*(1/365)*s_ETiw*(1/24)*Isospec!M11*s_Fin*s_Fi*s_Fam*s_Foff*s_GSFb</f>
        <v>9.8404070686643826E-6</v>
      </c>
      <c r="D12" s="132">
        <f>s_C*s_EFiw*(1/365)*s_ETiw*(1/24)*Isospec!L11*s_Fin*s_Fi*s_Fam*s_Foff*s_GSFb</f>
        <v>1.4129346087942614</v>
      </c>
      <c r="E12" s="132">
        <f>s_C*s_EFiw*(1/365)*s_ETiw*(1/24)*Isospec!N11*s_Fin*s_Fi*s_Fam*s_Foff*s_GSFb</f>
        <v>1.7823743027966483</v>
      </c>
      <c r="F12" s="132">
        <f>s_C*s_EFiw*(1/365)*s_ETiw*(1/24)*Isospec!O11*s_Fin*s_Fi*s_Fam*s_Foff*s_GSFb</f>
        <v>1.7026797401187639</v>
      </c>
      <c r="G12" s="132">
        <f>s_C*s_EFiw*(1/365)*s_ETiw*(1/24)*Isospec!P11*s_Fin*s_Fi*s_Fam*s_Foff*s_GSFb</f>
        <v>2.3186140126123962</v>
      </c>
      <c r="H12" s="2">
        <f>C12*Doses!I10</f>
        <v>8.5475743879832559E-9</v>
      </c>
      <c r="I12" s="3">
        <f>D12*Doses!L10</f>
        <v>5.1698853455399386E-3</v>
      </c>
      <c r="J12" s="3">
        <f>E12*Doses!M10</f>
        <v>7.1583716748918993E-4</v>
      </c>
      <c r="K12" s="3">
        <f>F12*Doses!N10</f>
        <v>1.1927271579531941E-3</v>
      </c>
      <c r="L12" s="5">
        <f>G12*Doses!O10</f>
        <v>1.9793451358308999E-3</v>
      </c>
      <c r="M12" s="2">
        <f t="shared" ref="M12:Q12" si="4">IFERROR(H12/_1_bq,".")</f>
        <v>3.162602523553808E-10</v>
      </c>
      <c r="N12" s="3">
        <f t="shared" si="4"/>
        <v>1.9128575778497791E-4</v>
      </c>
      <c r="O12" s="3">
        <f t="shared" si="4"/>
        <v>2.6485975197100056E-5</v>
      </c>
      <c r="P12" s="3">
        <f t="shared" si="4"/>
        <v>4.4130904844268231E-5</v>
      </c>
      <c r="Q12" s="5">
        <f t="shared" si="4"/>
        <v>7.3235770025743377E-5</v>
      </c>
    </row>
    <row r="13" spans="1:17">
      <c r="A13" s="87" t="s">
        <v>24</v>
      </c>
      <c r="B13" s="12" t="s">
        <v>59</v>
      </c>
      <c r="C13" s="132">
        <f>s_C*s_EFiw*(1/365)*s_ETiw*(1/24)*Isospec!M12*s_Fin*s_Fi*s_Fam*s_Foff*s_GSFb</f>
        <v>0.22615766948299085</v>
      </c>
      <c r="D13" s="132">
        <f>s_C*s_EFiw*(1/365)*s_ETiw*(1/24)*Isospec!L12*s_Fin*s_Fi*s_Fam*s_Foff*s_GSFb</f>
        <v>0.2951547289078767</v>
      </c>
      <c r="E13" s="132">
        <f>s_C*s_EFiw*(1/365)*s_ETiw*(1/24)*Isospec!N12*s_Fin*s_Fi*s_Fam*s_Foff*s_GSFb</f>
        <v>0.32224342919999999</v>
      </c>
      <c r="F13" s="132">
        <f>s_C*s_EFiw*(1/365)*s_ETiw*(1/24)*Isospec!O12*s_Fin*s_Fi*s_Fam*s_Foff*s_GSFb</f>
        <v>0.29983191614486299</v>
      </c>
      <c r="G13" s="132">
        <f>s_C*s_EFiw*(1/365)*s_ETiw*(1/24)*Isospec!P12*s_Fin*s_Fi*s_Fam*s_Foff*s_GSFb</f>
        <v>0.24598312435947489</v>
      </c>
      <c r="H13" s="2">
        <f>C13*Doses!I11</f>
        <v>3.0121578146168383E-2</v>
      </c>
      <c r="I13" s="3">
        <f>D13*Doses!L11</f>
        <v>9.2814651207099811E-3</v>
      </c>
      <c r="J13" s="3">
        <f>E13*Doses!M11</f>
        <v>1.0293357410249759E-2</v>
      </c>
      <c r="K13" s="3">
        <f>F13*Doses!N11</f>
        <v>2.6772111725341274E-2</v>
      </c>
      <c r="L13" s="5">
        <f>G13*Doses!O11</f>
        <v>3.1521458274420038E-2</v>
      </c>
      <c r="M13" s="2">
        <f t="shared" ref="M13:Q13" si="5">IFERROR(H13/_1_bq,".")</f>
        <v>1.1144983914082314E-3</v>
      </c>
      <c r="N13" s="3">
        <f t="shared" si="5"/>
        <v>3.4341420946626964E-4</v>
      </c>
      <c r="O13" s="3">
        <f t="shared" si="5"/>
        <v>3.8085422417924149E-4</v>
      </c>
      <c r="P13" s="3">
        <f t="shared" si="5"/>
        <v>9.9056813383762809E-4</v>
      </c>
      <c r="Q13" s="5">
        <f t="shared" si="5"/>
        <v>1.1662939561535425E-3</v>
      </c>
    </row>
    <row r="14" spans="1:17">
      <c r="A14" s="87" t="s">
        <v>22</v>
      </c>
      <c r="B14" s="89" t="s">
        <v>59</v>
      </c>
      <c r="C14" s="132">
        <f>s_C*s_EFiw*(1/365)*s_ETiw*(1/24)*Isospec!M13*s_Fin*s_Fi*s_Fam*s_Foff*s_GSFb</f>
        <v>0.67707907030650683</v>
      </c>
      <c r="D14" s="132">
        <f>s_C*s_EFiw*(1/365)*s_ETiw*(1/24)*Isospec!L13*s_Fin*s_Fi*s_Fam*s_Foff*s_GSFb</f>
        <v>0.72968100339611874</v>
      </c>
      <c r="E14" s="132">
        <f>s_C*s_EFiw*(1/365)*s_ETiw*(1/24)*Isospec!N13*s_Fin*s_Fi*s_Fam*s_Foff*s_GSFb</f>
        <v>0.82990452628253419</v>
      </c>
      <c r="F14" s="132">
        <f>s_C*s_EFiw*(1/365)*s_ETiw*(1/24)*Isospec!O13*s_Fin*s_Fi*s_Fam*s_Foff*s_GSFb</f>
        <v>0.82121398935319634</v>
      </c>
      <c r="G14" s="132">
        <f>s_C*s_EFiw*(1/365)*s_ETiw*(1/24)*Isospec!P13*s_Fin*s_Fi*s_Fam*s_Foff*s_GSFb</f>
        <v>0.69330256768013698</v>
      </c>
      <c r="H14" s="2">
        <f>C14*Doses!I12</f>
        <v>0.41484905469307798</v>
      </c>
      <c r="I14" s="3">
        <f>D14*Doses!L12</f>
        <v>0.12709656685253937</v>
      </c>
      <c r="J14" s="3">
        <f>E14*Doses!M12</f>
        <v>0.11502941480810641</v>
      </c>
      <c r="K14" s="3">
        <f>F14*Doses!N12</f>
        <v>0.31754374054713658</v>
      </c>
      <c r="L14" s="5">
        <f>G14*Doses!O12</f>
        <v>0.39759238330293423</v>
      </c>
      <c r="M14" s="2">
        <f t="shared" ref="M14:Q14" si="6">IFERROR(H14/_1_bq,".")</f>
        <v>1.5349415023643901E-2</v>
      </c>
      <c r="N14" s="3">
        <f t="shared" si="6"/>
        <v>4.7025729735439611E-3</v>
      </c>
      <c r="O14" s="3">
        <f t="shared" si="6"/>
        <v>4.2560883478999414E-3</v>
      </c>
      <c r="P14" s="3">
        <f t="shared" si="6"/>
        <v>1.1749118400244065E-2</v>
      </c>
      <c r="Q14" s="5">
        <f t="shared" si="6"/>
        <v>1.4710918182208581E-2</v>
      </c>
    </row>
    <row r="15" spans="1:17">
      <c r="A15" s="87" t="s">
        <v>28</v>
      </c>
      <c r="B15" s="12" t="s">
        <v>59</v>
      </c>
      <c r="C15" s="132">
        <f>s_C*s_EFiw*(1/365)*s_ETiw*(1/24)*Isospec!M14*s_Fin*s_Fi*s_Fam*s_Foff*s_GSFb</f>
        <v>0.74941491009954331</v>
      </c>
      <c r="D15" s="132">
        <f>s_C*s_EFiw*(1/365)*s_ETiw*(1/24)*Isospec!L14*s_Fin*s_Fi*s_Fam*s_Foff*s_GSFb</f>
        <v>2.523330247769406</v>
      </c>
      <c r="E15" s="132">
        <f>s_C*s_EFiw*(1/365)*s_ETiw*(1/24)*Isospec!N14*s_Fin*s_Fi*s_Fam*s_Foff*s_GSFb</f>
        <v>1.4739045717979451</v>
      </c>
      <c r="F15" s="132">
        <f>s_C*s_EFiw*(1/365)*s_ETiw*(1/24)*Isospec!O14*s_Fin*s_Fi*s_Fam*s_Foff*s_GSFb</f>
        <v>1.6689464118789954</v>
      </c>
      <c r="G15" s="132">
        <f>s_C*s_EFiw*(1/365)*s_ETiw*(1/24)*Isospec!P14*s_Fin*s_Fi*s_Fam*s_Foff*s_GSFb</f>
        <v>1.4154806125593609</v>
      </c>
      <c r="H15" s="2">
        <f>C15*Doses!I13</f>
        <v>5.0256663169167493E-2</v>
      </c>
      <c r="I15" s="3">
        <f>D15*Doses!L13</f>
        <v>7.197446265527542E-2</v>
      </c>
      <c r="J15" s="3">
        <f>E15*Doses!M13</f>
        <v>3.3039044881422737E-2</v>
      </c>
      <c r="K15" s="3">
        <f>F15*Doses!N13</f>
        <v>8.9163128265352956E-2</v>
      </c>
      <c r="L15" s="5">
        <f>G15*Doses!O13</f>
        <v>9.4659416676539723E-2</v>
      </c>
      <c r="M15" s="2">
        <f t="shared" ref="M15:Q15" si="7">IFERROR(H15/_1_bq,".")</f>
        <v>1.8594965372591991E-3</v>
      </c>
      <c r="N15" s="3">
        <f t="shared" si="7"/>
        <v>2.6630551182451933E-3</v>
      </c>
      <c r="O15" s="3">
        <f t="shared" si="7"/>
        <v>1.2224446606126425E-3</v>
      </c>
      <c r="P15" s="3">
        <f t="shared" si="7"/>
        <v>3.2990357458180628E-3</v>
      </c>
      <c r="Q15" s="5">
        <f t="shared" si="7"/>
        <v>3.5023984170319735E-3</v>
      </c>
    </row>
    <row r="16" spans="1:17">
      <c r="A16" s="87" t="s">
        <v>29</v>
      </c>
      <c r="B16" s="12" t="s">
        <v>59</v>
      </c>
      <c r="C16" s="132">
        <f>s_C*s_EFiw*(1/365)*s_ETiw*(1/24)*Isospec!M15*s_Fin*s_Fi*s_Fam*s_Foff*s_GSFb</f>
        <v>1.7674199357054794</v>
      </c>
      <c r="D16" s="132">
        <f>s_C*s_EFiw*(1/365)*s_ETiw*(1/24)*Isospec!L15*s_Fin*s_Fi*s_Fam*s_Foff*s_GSFb</f>
        <v>3.2232827010799086</v>
      </c>
      <c r="E16" s="132">
        <f>s_C*s_EFiw*(1/365)*s_ETiw*(1/24)*Isospec!N15*s_Fin*s_Fi*s_Fam*s_Foff*s_GSFb</f>
        <v>2.6208001870479452</v>
      </c>
      <c r="F16" s="132">
        <f>s_C*s_EFiw*(1/365)*s_ETiw*(1/24)*Isospec!O15*s_Fin*s_Fi*s_Fam*s_Foff*s_GSFb</f>
        <v>2.8328370642979452</v>
      </c>
      <c r="G16" s="132">
        <f>s_C*s_EFiw*(1/365)*s_ETiw*(1/24)*Isospec!P15*s_Fin*s_Fi*s_Fam*s_Foff*s_GSFb</f>
        <v>2.2516693331803652</v>
      </c>
      <c r="H16" s="2">
        <f>C16*Doses!I14</f>
        <v>1.7993395397443204</v>
      </c>
      <c r="I16" s="3">
        <f>D16*Doses!L14</f>
        <v>0.76113953046760741</v>
      </c>
      <c r="J16" s="3">
        <f>E16*Doses!M14</f>
        <v>0.62174815317450627</v>
      </c>
      <c r="K16" s="3">
        <f>F16*Doses!N14</f>
        <v>1.8679840915463222</v>
      </c>
      <c r="L16" s="5">
        <f>G16*Doses!O14</f>
        <v>2.1703570502205558</v>
      </c>
      <c r="M16" s="2">
        <f t="shared" ref="M16:Q16" si="8">IFERROR(H16/_1_bq,".")</f>
        <v>6.6575562970539917E-2</v>
      </c>
      <c r="N16" s="3">
        <f t="shared" si="8"/>
        <v>2.8162162627301503E-2</v>
      </c>
      <c r="O16" s="3">
        <f t="shared" si="8"/>
        <v>2.3004681667456756E-2</v>
      </c>
      <c r="P16" s="3">
        <f t="shared" si="8"/>
        <v>6.9115411387213985E-2</v>
      </c>
      <c r="Q16" s="5">
        <f t="shared" si="8"/>
        <v>8.030321085816064E-2</v>
      </c>
    </row>
    <row r="17" spans="1:17">
      <c r="A17" s="87" t="s">
        <v>32</v>
      </c>
      <c r="B17" s="12" t="s">
        <v>59</v>
      </c>
      <c r="C17" s="132">
        <f>s_C*s_EFiw*(1/365)*s_ETiw*(1/24)*Isospec!M16*s_Fin*s_Fi*s_Fam*s_Foff*s_GSFb</f>
        <v>0</v>
      </c>
      <c r="D17" s="132">
        <f>s_C*s_EFiw*(1/365)*s_ETiw*(1/24)*Isospec!L16*s_Fin*s_Fi*s_Fam*s_Foff*s_GSFb</f>
        <v>0</v>
      </c>
      <c r="E17" s="132">
        <f>s_C*s_EFiw*(1/365)*s_ETiw*(1/24)*Isospec!N16*s_Fin*s_Fi*s_Fam*s_Foff*s_GSFb</f>
        <v>0</v>
      </c>
      <c r="F17" s="132">
        <f>s_C*s_EFiw*(1/365)*s_ETiw*(1/24)*Isospec!O16*s_Fin*s_Fi*s_Fam*s_Foff*s_GSFb</f>
        <v>0</v>
      </c>
      <c r="G17" s="132">
        <f>s_C*s_EFiw*(1/365)*s_ETiw*(1/24)*Isospec!P16*s_Fin*s_Fi*s_Fam*s_Foff*s_GSFb</f>
        <v>0</v>
      </c>
      <c r="H17" s="2">
        <f>C17*Doses!I15</f>
        <v>0</v>
      </c>
      <c r="I17" s="3">
        <f>D17*Doses!L15</f>
        <v>0</v>
      </c>
      <c r="J17" s="3">
        <f>E17*Doses!M15</f>
        <v>0</v>
      </c>
      <c r="K17" s="3">
        <f>F17*Doses!N15</f>
        <v>0</v>
      </c>
      <c r="L17" s="5">
        <f>G17*Doses!O15</f>
        <v>0</v>
      </c>
      <c r="M17" s="2">
        <f t="shared" ref="M17:Q19" si="9">IFERROR(H17/_1_bq,".")</f>
        <v>0</v>
      </c>
      <c r="N17" s="3">
        <f t="shared" si="9"/>
        <v>0</v>
      </c>
      <c r="O17" s="3">
        <f t="shared" si="9"/>
        <v>0</v>
      </c>
      <c r="P17" s="3">
        <f t="shared" si="9"/>
        <v>0</v>
      </c>
      <c r="Q17" s="5">
        <f t="shared" si="9"/>
        <v>0</v>
      </c>
    </row>
    <row r="18" spans="1:17">
      <c r="A18" s="87" t="s">
        <v>33</v>
      </c>
      <c r="B18" s="90" t="s">
        <v>59</v>
      </c>
      <c r="C18" s="132">
        <f>s_C*s_EFiw*(1/365)*s_ETiw*(1/24)*Isospec!M17*s_Fin*s_Fi*s_Fam*s_Foff*s_GSFb</f>
        <v>0.23417551960753427</v>
      </c>
      <c r="D18" s="132">
        <f>s_C*s_EFiw*(1/365)*s_ETiw*(1/24)*Isospec!L17*s_Fin*s_Fi*s_Fam*s_Foff*s_GSFb</f>
        <v>1.0626674207492008</v>
      </c>
      <c r="E18" s="132">
        <f>s_C*s_EFiw*(1/365)*s_ETiw*(1/24)*Isospec!N17*s_Fin*s_Fi*s_Fam*s_Foff*s_GSFb</f>
        <v>0.51922446083561646</v>
      </c>
      <c r="F18" s="132">
        <f>s_C*s_EFiw*(1/365)*s_ETiw*(1/24)*Isospec!O17*s_Fin*s_Fi*s_Fam*s_Foff*s_GSFb</f>
        <v>0.51353682279920099</v>
      </c>
      <c r="G18" s="132">
        <f>s_C*s_EFiw*(1/365)*s_ETiw*(1/24)*Isospec!P17*s_Fin*s_Fi*s_Fam*s_Foff*s_GSFb</f>
        <v>0.48258440928550222</v>
      </c>
      <c r="H18" s="2">
        <f>C18*Doses!I16</f>
        <v>4.8993265510209887E-4</v>
      </c>
      <c r="I18" s="3">
        <f>D18*Doses!L16</f>
        <v>2.6957003262371203E-3</v>
      </c>
      <c r="J18" s="3">
        <f>E18*Doses!M16</f>
        <v>6.9057684050274329E-4</v>
      </c>
      <c r="K18" s="3">
        <f>F18*Doses!N16</f>
        <v>1.055215463487798E-3</v>
      </c>
      <c r="L18" s="5">
        <f>G18*Doses!O16</f>
        <v>1.0096437977307564E-3</v>
      </c>
      <c r="M18" s="2">
        <f t="shared" si="9"/>
        <v>1.8127508238777677E-5</v>
      </c>
      <c r="N18" s="3">
        <f t="shared" si="9"/>
        <v>9.9740912070773552E-5</v>
      </c>
      <c r="O18" s="3">
        <f t="shared" si="9"/>
        <v>2.5551343098601528E-5</v>
      </c>
      <c r="P18" s="3">
        <f t="shared" si="9"/>
        <v>3.9042972149048568E-5</v>
      </c>
      <c r="Q18" s="5">
        <f t="shared" si="9"/>
        <v>3.7356820516038027E-5</v>
      </c>
    </row>
    <row r="19" spans="1:17">
      <c r="A19" s="87" t="s">
        <v>34</v>
      </c>
      <c r="B19" s="90" t="s">
        <v>59</v>
      </c>
      <c r="C19" s="132">
        <f>s_C*s_EFiw*(1/365)*s_ETiw*(1/24)*Isospec!M18*s_Fin*s_Fi*s_Fam*s_Foff*s_GSFb</f>
        <v>1.4733687050273974</v>
      </c>
      <c r="D19" s="132">
        <f>s_C*s_EFiw*(1/365)*s_ETiw*(1/24)*Isospec!L18*s_Fin*s_Fi*s_Fam*s_Foff*s_GSFb</f>
        <v>1.7619354722762559</v>
      </c>
      <c r="E19" s="132">
        <f>s_C*s_EFiw*(1/365)*s_ETiw*(1/24)*Isospec!N18*s_Fin*s_Fi*s_Fam*s_Foff*s_GSFb</f>
        <v>1.8286115052031964</v>
      </c>
      <c r="F19" s="132">
        <f>s_C*s_EFiw*(1/365)*s_ETiw*(1/24)*Isospec!O18*s_Fin*s_Fi*s_Fam*s_Foff*s_GSFb</f>
        <v>1.805477479252283</v>
      </c>
      <c r="G19" s="132">
        <f>s_C*s_EFiw*(1/365)*s_ETiw*(1/24)*Isospec!P18*s_Fin*s_Fi*s_Fam*s_Foff*s_GSFb</f>
        <v>1.5450594192853881</v>
      </c>
      <c r="H19" s="2">
        <f>C19*Doses!I17</f>
        <v>1.8522660946870628</v>
      </c>
      <c r="I19" s="3">
        <f>D19*Doses!L17</f>
        <v>0.50050772380309916</v>
      </c>
      <c r="J19" s="3">
        <f>E19*Doses!M17</f>
        <v>0.51237694375793563</v>
      </c>
      <c r="K19" s="3">
        <f>F19*Doses!N17</f>
        <v>1.4266233069159009</v>
      </c>
      <c r="L19" s="5">
        <f>G19*Doses!O17</f>
        <v>1.815401555996591</v>
      </c>
      <c r="M19" s="2">
        <f t="shared" si="9"/>
        <v>6.8533845503421398E-2</v>
      </c>
      <c r="N19" s="3">
        <f t="shared" si="9"/>
        <v>1.8518785780714687E-2</v>
      </c>
      <c r="O19" s="3">
        <f t="shared" si="9"/>
        <v>1.8957946919043636E-2</v>
      </c>
      <c r="P19" s="3">
        <f t="shared" si="9"/>
        <v>5.2785062355888389E-2</v>
      </c>
      <c r="Q19" s="5">
        <f t="shared" si="9"/>
        <v>6.7169857571873937E-2</v>
      </c>
    </row>
    <row r="20" spans="1:17">
      <c r="A20" s="87" t="s">
        <v>36</v>
      </c>
      <c r="B20" s="90" t="s">
        <v>59</v>
      </c>
      <c r="C20" s="132">
        <f>s_C*s_EFiw*(1/365)*s_ETiw*(1/24)*Isospec!M19*s_Fin*s_Fi*s_Fam*s_Foff*s_GSFb</f>
        <v>2.2570640789520548E-5</v>
      </c>
      <c r="D20" s="132">
        <f>s_C*s_EFiw*(1/365)*s_ETiw*(1/24)*Isospec!L19*s_Fin*s_Fi*s_Fam*s_Foff*s_GSFb</f>
        <v>1.4006258052454338E-5</v>
      </c>
      <c r="E20" s="132">
        <f>s_C*s_EFiw*(1/365)*s_ETiw*(1/24)*Isospec!N19*s_Fin*s_Fi*s_Fam*s_Foff*s_GSFb</f>
        <v>1.9462383474554795E-5</v>
      </c>
      <c r="F20" s="132">
        <f>s_C*s_EFiw*(1/365)*s_ETiw*(1/24)*Isospec!O19*s_Fin*s_Fi*s_Fam*s_Foff*s_GSFb</f>
        <v>1.9936491916552512E-5</v>
      </c>
      <c r="G20" s="132">
        <f>s_C*s_EFiw*(1/365)*s_ETiw*(1/24)*Isospec!P19*s_Fin*s_Fi*s_Fam*s_Foff*s_GSFb</f>
        <v>1.7298776936004565E-5</v>
      </c>
      <c r="H20" s="2">
        <f>C20*Doses!I18</f>
        <v>1.2732911012436964E-9</v>
      </c>
      <c r="I20" s="3">
        <f>D20*Doses!L18</f>
        <v>1.5096197041580229E-10</v>
      </c>
      <c r="J20" s="3">
        <f>E20*Doses!M18</f>
        <v>2.1304459145654457E-10</v>
      </c>
      <c r="K20" s="3">
        <f>F20*Doses!N18</f>
        <v>6.256549639220176E-10</v>
      </c>
      <c r="L20" s="5">
        <f>G20*Doses!O18</f>
        <v>8.5309264435445232E-10</v>
      </c>
      <c r="M20" s="2">
        <f t="shared" ref="M20:Q23" si="10">IFERROR(H20/_1_bq,".")</f>
        <v>4.7111770746016817E-11</v>
      </c>
      <c r="N20" s="3">
        <f t="shared" si="10"/>
        <v>5.5855929053846904E-12</v>
      </c>
      <c r="O20" s="3">
        <f t="shared" si="10"/>
        <v>7.8826498838921577E-12</v>
      </c>
      <c r="P20" s="3">
        <f t="shared" si="10"/>
        <v>2.3149233665114675E-11</v>
      </c>
      <c r="Q20" s="5">
        <f t="shared" si="10"/>
        <v>3.1564427841114769E-11</v>
      </c>
    </row>
    <row r="21" spans="1:17">
      <c r="A21" s="87" t="s">
        <v>37</v>
      </c>
      <c r="B21" s="12" t="s">
        <v>59</v>
      </c>
      <c r="C21" s="132">
        <f>s_C*s_EFiw*(1/365)*s_ETiw*(1/24)*Isospec!M20*s_Fin*s_Fi*s_Fam*s_Foff*s_GSFb</f>
        <v>9.0121716419166667E-5</v>
      </c>
      <c r="D21" s="132">
        <f>s_C*s_EFiw*(1/365)*s_ETiw*(1/24)*Isospec!L20*s_Fin*s_Fi*s_Fam*s_Foff*s_GSFb</f>
        <v>5.8322721555422374E-5</v>
      </c>
      <c r="E21" s="132">
        <f>s_C*s_EFiw*(1/365)*s_ETiw*(1/24)*Isospec!N20*s_Fin*s_Fi*s_Fam*s_Foff*s_GSFb</f>
        <v>7.9446953509577621E-5</v>
      </c>
      <c r="F21" s="132">
        <f>s_C*s_EFiw*(1/365)*s_ETiw*(1/24)*Isospec!O20*s_Fin*s_Fi*s_Fam*s_Foff*s_GSFb</f>
        <v>8.1485171716792231E-5</v>
      </c>
      <c r="G21" s="132">
        <f>s_C*s_EFiw*(1/365)*s_ETiw*(1/24)*Isospec!P20*s_Fin*s_Fi*s_Fam*s_Foff*s_GSFb</f>
        <v>7.0128168789337897E-5</v>
      </c>
      <c r="H21" s="2">
        <f>C21*Doses!I19</f>
        <v>1.9528294487436388E-8</v>
      </c>
      <c r="I21" s="3">
        <f>D21*Doses!L19</f>
        <v>2.4339996354889086E-9</v>
      </c>
      <c r="J21" s="3">
        <f>E21*Doses!M19</f>
        <v>3.3539961469231365E-9</v>
      </c>
      <c r="K21" s="3">
        <f>F21*Doses!N19</f>
        <v>9.8482652596228229E-9</v>
      </c>
      <c r="L21" s="5">
        <f>G21*Doses!O19</f>
        <v>1.3361940768445285E-8</v>
      </c>
      <c r="M21" s="2">
        <f t="shared" si="10"/>
        <v>7.2254689603514713E-10</v>
      </c>
      <c r="N21" s="3">
        <f t="shared" si="10"/>
        <v>9.0057986513089714E-11</v>
      </c>
      <c r="O21" s="3">
        <f t="shared" si="10"/>
        <v>1.2409785743615617E-10</v>
      </c>
      <c r="P21" s="3">
        <f t="shared" si="10"/>
        <v>3.6438581460604483E-10</v>
      </c>
      <c r="Q21" s="5">
        <f t="shared" si="10"/>
        <v>4.9439180843247608E-10</v>
      </c>
    </row>
    <row r="22" spans="1:17">
      <c r="A22" s="87" t="s">
        <v>38</v>
      </c>
      <c r="B22" s="90" t="s">
        <v>59</v>
      </c>
      <c r="C22" s="132">
        <f>s_C*s_EFiw*(1/365)*s_ETiw*(1/24)*Isospec!M21*s_Fin*s_Fi*s_Fam*s_Foff*s_GSFb</f>
        <v>1.9412864013847032E-4</v>
      </c>
      <c r="D22" s="132">
        <f>s_C*s_EFiw*(1/365)*s_ETiw*(1/24)*Isospec!L21*s_Fin*s_Fi*s_Fam*s_Foff*s_GSFb</f>
        <v>1.2051034790704338E-4</v>
      </c>
      <c r="E22" s="132">
        <f>s_C*s_EFiw*(1/365)*s_ETiw*(1/24)*Isospec!N21*s_Fin*s_Fi*s_Fam*s_Foff*s_GSFb</f>
        <v>1.6747108738413244E-4</v>
      </c>
      <c r="F22" s="132">
        <f>s_C*s_EFiw*(1/365)*s_ETiw*(1/24)*Isospec!O21*s_Fin*s_Fi*s_Fam*s_Foff*s_GSFb</f>
        <v>1.7176554190194063E-4</v>
      </c>
      <c r="G22" s="132">
        <f>s_C*s_EFiw*(1/365)*s_ETiw*(1/24)*Isospec!P21*s_Fin*s_Fi*s_Fam*s_Foff*s_GSFb</f>
        <v>1.4894355333778538E-4</v>
      </c>
      <c r="H22" s="2">
        <f>C22*Doses!I20</f>
        <v>9.319650104311628E-8</v>
      </c>
      <c r="I22" s="3">
        <f>D22*Doses!L20</f>
        <v>1.1086988160552362E-8</v>
      </c>
      <c r="J22" s="3">
        <f>E22*Doses!M20</f>
        <v>1.5641799561677967E-8</v>
      </c>
      <c r="K22" s="3">
        <f>F22*Doses!N20</f>
        <v>4.5882698615013984E-8</v>
      </c>
      <c r="L22" s="5">
        <f>G22*Doses!O20</f>
        <v>6.2879202025506182E-8</v>
      </c>
      <c r="M22" s="2">
        <f t="shared" si="10"/>
        <v>3.4482705385953059E-9</v>
      </c>
      <c r="N22" s="3">
        <f t="shared" si="10"/>
        <v>4.1021856194043782E-10</v>
      </c>
      <c r="O22" s="3">
        <f t="shared" si="10"/>
        <v>5.787465837820854E-10</v>
      </c>
      <c r="P22" s="3">
        <f t="shared" si="10"/>
        <v>1.6976598487555192E-9</v>
      </c>
      <c r="Q22" s="5">
        <f t="shared" si="10"/>
        <v>2.326530474943731E-9</v>
      </c>
    </row>
    <row r="23" spans="1:17">
      <c r="A23" s="87" t="s">
        <v>39</v>
      </c>
      <c r="B23" s="90" t="s">
        <v>59</v>
      </c>
      <c r="C23" s="132">
        <f>s_C*s_EFiw*(1/365)*s_ETiw*(1/24)*Isospec!M22*s_Fin*s_Fi*s_Fam*s_Foff*s_GSFb</f>
        <v>0</v>
      </c>
      <c r="D23" s="132">
        <f>s_C*s_EFiw*(1/365)*s_ETiw*(1/24)*Isospec!L22*s_Fin*s_Fi*s_Fam*s_Foff*s_GSFb</f>
        <v>0</v>
      </c>
      <c r="E23" s="132">
        <f>s_C*s_EFiw*(1/365)*s_ETiw*(1/24)*Isospec!N22*s_Fin*s_Fi*s_Fam*s_Foff*s_GSFb</f>
        <v>0</v>
      </c>
      <c r="F23" s="132">
        <f>s_C*s_EFiw*(1/365)*s_ETiw*(1/24)*Isospec!O22*s_Fin*s_Fi*s_Fam*s_Foff*s_GSFb</f>
        <v>0</v>
      </c>
      <c r="G23" s="132">
        <f>s_C*s_EFiw*(1/365)*s_ETiw*(1/24)*Isospec!P22*s_Fin*s_Fi*s_Fam*s_Foff*s_GSFb</f>
        <v>0</v>
      </c>
      <c r="H23" s="2">
        <f>C23*Doses!I21</f>
        <v>0</v>
      </c>
      <c r="I23" s="3">
        <f>D23*Doses!L21</f>
        <v>0</v>
      </c>
      <c r="J23" s="3">
        <f>E23*Doses!M21</f>
        <v>0</v>
      </c>
      <c r="K23" s="3">
        <f>F23*Doses!N21</f>
        <v>0</v>
      </c>
      <c r="L23" s="5">
        <f>G23*Doses!O21</f>
        <v>0</v>
      </c>
      <c r="M23" s="2">
        <f t="shared" si="10"/>
        <v>0</v>
      </c>
      <c r="N23" s="3">
        <f t="shared" si="10"/>
        <v>0</v>
      </c>
      <c r="O23" s="3">
        <f t="shared" si="10"/>
        <v>0</v>
      </c>
      <c r="P23" s="3">
        <f t="shared" si="10"/>
        <v>0</v>
      </c>
      <c r="Q23" s="5">
        <f t="shared" si="10"/>
        <v>0</v>
      </c>
    </row>
    <row r="24" spans="1:17">
      <c r="A24" s="87" t="s">
        <v>26</v>
      </c>
      <c r="B24" s="12" t="s">
        <v>59</v>
      </c>
      <c r="C24" s="132">
        <f>s_C*s_EFiw*(1/365)*s_ETiw*(1/24)*Isospec!M23*s_Fin*s_Fi*s_Fam*s_Foff*s_GSFb</f>
        <v>1.0380164975499477</v>
      </c>
      <c r="D24" s="132">
        <f>s_C*s_EFiw*(1/365)*s_ETiw*(1/24)*Isospec!L23*s_Fin*s_Fi*s_Fam*s_Foff*s_GSFb</f>
        <v>0.92387600461084474</v>
      </c>
      <c r="E24" s="132">
        <f>s_C*s_EFiw*(1/365)*s_ETiw*(1/24)*Isospec!N23*s_Fin*s_Fi*s_Fam*s_Foff*s_GSFb</f>
        <v>0.58199190511050225</v>
      </c>
      <c r="F24" s="132">
        <f>s_C*s_EFiw*(1/365)*s_ETiw*(1/24)*Isospec!O23*s_Fin*s_Fi*s_Fam*s_Foff*s_GSFb</f>
        <v>0.61401573131061638</v>
      </c>
      <c r="G24" s="132">
        <f>s_C*s_EFiw*(1/365)*s_ETiw*(1/24)*Isospec!P23*s_Fin*s_Fi*s_Fam*s_Foff*s_GSFb</f>
        <v>0.55695550450079911</v>
      </c>
      <c r="H24" s="2">
        <f>C24*Doses!I22</f>
        <v>9.249100679109154E-3</v>
      </c>
      <c r="I24" s="3">
        <f>D24*Doses!L22</f>
        <v>1.1880121543290854E-2</v>
      </c>
      <c r="J24" s="3">
        <f>E24*Doses!M22</f>
        <v>3.761576640462607E-3</v>
      </c>
      <c r="K24" s="3">
        <f>F24*Doses!N22</f>
        <v>5.4481615839190997E-3</v>
      </c>
      <c r="L24" s="5">
        <f>G24*Doses!O22</f>
        <v>4.9626740490837408E-3</v>
      </c>
      <c r="M24" s="2">
        <f t="shared" ref="M24:Q25" si="11">IFERROR(H24/_1_bq,".")</f>
        <v>3.4221672512703904E-4</v>
      </c>
      <c r="N24" s="3">
        <f t="shared" si="11"/>
        <v>4.3956449710176202E-4</v>
      </c>
      <c r="O24" s="3">
        <f t="shared" si="11"/>
        <v>1.3917833569711659E-4</v>
      </c>
      <c r="P24" s="3">
        <f t="shared" si="11"/>
        <v>2.0158197860500689E-4</v>
      </c>
      <c r="Q24" s="5">
        <f t="shared" si="11"/>
        <v>1.8361893981609859E-4</v>
      </c>
    </row>
    <row r="25" spans="1:17">
      <c r="A25" s="88" t="s">
        <v>27</v>
      </c>
      <c r="B25" s="90" t="s">
        <v>44</v>
      </c>
      <c r="C25" s="132">
        <f>s_C*s_EFiw*(1/365)*s_ETiw*(1/24)*Isospec!M24*s_Fin*s_Fi*s_Fam*s_Foff*s_GSFb</f>
        <v>6.3118592438652962E-2</v>
      </c>
      <c r="D25" s="132">
        <f>s_C*s_EFiw*(1/365)*s_ETiw*(1/24)*Isospec!L24*s_Fin*s_Fi*s_Fam*s_Foff*s_GSFb</f>
        <v>1.254441395190677</v>
      </c>
      <c r="E25" s="132">
        <f>s_C*s_EFiw*(1/365)*s_ETiw*(1/24)*Isospec!N24*s_Fin*s_Fi*s_Fam*s_Foff*s_GSFb</f>
        <v>1.6296934316642682</v>
      </c>
      <c r="F25" s="132">
        <f>s_C*s_EFiw*(1/365)*s_ETiw*(1/24)*Isospec!O24*s_Fin*s_Fi*s_Fam*s_Foff*s_GSFb</f>
        <v>1.6009529326587122</v>
      </c>
      <c r="G25" s="132">
        <f>s_C*s_EFiw*(1/365)*s_ETiw*(1/24)*Isospec!P24*s_Fin*s_Fi*s_Fam*s_Foff*s_GSFb</f>
        <v>1.6952900242185605</v>
      </c>
      <c r="H25" s="2">
        <f>C25*Doses!I23</f>
        <v>2.0043940214818637E-3</v>
      </c>
      <c r="I25" s="3">
        <f>D25*Doses!L23</f>
        <v>9.7958324997323813E-3</v>
      </c>
      <c r="J25" s="3">
        <f>E25*Doses!M23</f>
        <v>1.2907693480679137E-2</v>
      </c>
      <c r="K25" s="3">
        <f>F25*Doses!N23</f>
        <v>3.4989786915015753E-2</v>
      </c>
      <c r="L25" s="5">
        <f>G25*Doses!O23</f>
        <v>5.2568909302988499E-2</v>
      </c>
      <c r="M25" s="2">
        <f t="shared" si="11"/>
        <v>7.4162578794829026E-5</v>
      </c>
      <c r="N25" s="3">
        <f t="shared" si="11"/>
        <v>3.6244580249009849E-4</v>
      </c>
      <c r="O25" s="3">
        <f t="shared" si="11"/>
        <v>4.7758465878512853E-4</v>
      </c>
      <c r="P25" s="3">
        <f t="shared" si="11"/>
        <v>1.2946221158555841E-3</v>
      </c>
      <c r="Q25" s="5">
        <f t="shared" si="11"/>
        <v>1.9450496442105765E-3</v>
      </c>
    </row>
    <row r="26" spans="1:17">
      <c r="A26" s="87" t="s">
        <v>30</v>
      </c>
      <c r="B26" s="90" t="s">
        <v>59</v>
      </c>
      <c r="C26" s="132">
        <f>s_C*s_EFiw*(1/365)*s_ETiw*(1/24)*Isospec!M25*s_Fin*s_Fi*s_Fam*s_Foff*s_GSFb</f>
        <v>2.1263984919783104E-3</v>
      </c>
      <c r="D26" s="132">
        <f>s_C*s_EFiw*(1/365)*s_ETiw*(1/24)*Isospec!L25*s_Fin*s_Fi*s_Fam*s_Foff*s_GSFb</f>
        <v>1.4833079033515981E-3</v>
      </c>
      <c r="E26" s="132">
        <f>s_C*s_EFiw*(1/365)*s_ETiw*(1/24)*Isospec!N25*s_Fin*s_Fi*s_Fam*s_Foff*s_GSFb</f>
        <v>2.0176361948378995E-3</v>
      </c>
      <c r="F26" s="132">
        <f>s_C*s_EFiw*(1/365)*s_ETiw*(1/24)*Isospec!O25*s_Fin*s_Fi*s_Fam*s_Foff*s_GSFb</f>
        <v>2.2139194126449772E-3</v>
      </c>
      <c r="G26" s="132">
        <f>s_C*s_EFiw*(1/365)*s_ETiw*(1/24)*Isospec!P25*s_Fin*s_Fi*s_Fam*s_Foff*s_GSFb</f>
        <v>1.7480854044349314E-3</v>
      </c>
      <c r="H26" s="2">
        <f>C26*Doses!I24</f>
        <v>9.0564162332753036E-6</v>
      </c>
      <c r="I26" s="3">
        <f>D26*Doses!L24</f>
        <v>1.2554065438490453E-6</v>
      </c>
      <c r="J26" s="3">
        <f>E26*Doses!M24</f>
        <v>1.729945485088353E-6</v>
      </c>
      <c r="K26" s="3">
        <f>F26*Doses!N24</f>
        <v>5.4176379162952709E-6</v>
      </c>
      <c r="L26" s="5">
        <f>G26*Doses!O24</f>
        <v>6.6614640123882824E-6</v>
      </c>
      <c r="M26" s="2">
        <f t="shared" ref="M26:Q27" si="12">IFERROR(H26/_1_bq,".")</f>
        <v>3.3508740063118657E-7</v>
      </c>
      <c r="N26" s="3">
        <f t="shared" si="12"/>
        <v>4.6450042122414719E-8</v>
      </c>
      <c r="O26" s="3">
        <f t="shared" si="12"/>
        <v>6.4007982948269121E-8</v>
      </c>
      <c r="P26" s="3">
        <f t="shared" si="12"/>
        <v>2.0045260290292522E-7</v>
      </c>
      <c r="Q26" s="5">
        <f t="shared" si="12"/>
        <v>2.4647416845836668E-7</v>
      </c>
    </row>
    <row r="27" spans="1:17">
      <c r="A27" s="88" t="s">
        <v>31</v>
      </c>
      <c r="B27" s="90" t="s">
        <v>44</v>
      </c>
      <c r="C27" s="132">
        <f>s_C*s_EFiw*(1/365)*s_ETiw*(1/24)*Isospec!M26*s_Fin*s_Fi*s_Fam*s_Foff*s_GSFb</f>
        <v>1.3232002747534247E-3</v>
      </c>
      <c r="D27" s="132">
        <f>s_C*s_EFiw*(1/365)*s_ETiw*(1/24)*Isospec!L26*s_Fin*s_Fi*s_Fam*s_Foff*s_GSFb</f>
        <v>9.3635426727785385E-4</v>
      </c>
      <c r="E27" s="132">
        <f>s_C*s_EFiw*(1/365)*s_ETiw*(1/24)*Isospec!N26*s_Fin*s_Fi*s_Fam*s_Foff*s_GSFb</f>
        <v>1.2244365330158675E-3</v>
      </c>
      <c r="F27" s="132">
        <f>s_C*s_EFiw*(1/365)*s_ETiw*(1/24)*Isospec!O26*s_Fin*s_Fi*s_Fam*s_Foff*s_GSFb</f>
        <v>1.4240730746803651E-3</v>
      </c>
      <c r="G27" s="132">
        <f>s_C*s_EFiw*(1/365)*s_ETiw*(1/24)*Isospec!P26*s_Fin*s_Fi*s_Fam*s_Foff*s_GSFb</f>
        <v>1.3278887707614156E-3</v>
      </c>
      <c r="H27" s="2">
        <f>C27*Doses!I25</f>
        <v>2.8177814490929135E-6</v>
      </c>
      <c r="I27" s="3">
        <f>D27*Doses!L25</f>
        <v>4.0719050750258575E-7</v>
      </c>
      <c r="J27" s="3">
        <f>E27*Doses!M25</f>
        <v>5.3979039670697912E-7</v>
      </c>
      <c r="K27" s="3">
        <f>F27*Doses!N25</f>
        <v>1.7902934028574665E-6</v>
      </c>
      <c r="L27" s="5">
        <f>G27*Doses!O25</f>
        <v>2.5797160727336173E-6</v>
      </c>
      <c r="M27" s="2">
        <f t="shared" si="12"/>
        <v>1.0425791361643791E-7</v>
      </c>
      <c r="N27" s="3">
        <f t="shared" si="12"/>
        <v>1.5066048777595687E-8</v>
      </c>
      <c r="O27" s="3">
        <f t="shared" si="12"/>
        <v>1.9972244678158248E-8</v>
      </c>
      <c r="P27" s="3">
        <f t="shared" si="12"/>
        <v>6.6240855905726329E-8</v>
      </c>
      <c r="Q27" s="5">
        <f t="shared" si="12"/>
        <v>9.5449494691143933E-8</v>
      </c>
    </row>
    <row r="28" spans="1:17">
      <c r="A28" s="87" t="s">
        <v>35</v>
      </c>
      <c r="B28" s="12" t="s">
        <v>59</v>
      </c>
      <c r="C28" s="132">
        <f>s_C*s_EFiw*(1/365)*s_ETiw*(1/24)*Isospec!M27*s_Fin*s_Fi*s_Fam*s_Foff*s_GSFb</f>
        <v>0.84648590333842788</v>
      </c>
      <c r="D28" s="132">
        <f>s_C*s_EFiw*(1/365)*s_ETiw*(1/24)*Isospec!L27*s_Fin*s_Fi*s_Fam*s_Foff*s_GSFb</f>
        <v>4.3839439486358449</v>
      </c>
      <c r="E28" s="132">
        <f>s_C*s_EFiw*(1/365)*s_ETiw*(1/24)*Isospec!N27*s_Fin*s_Fi*s_Fam*s_Foff*s_GSFb</f>
        <v>2.9188469966860731</v>
      </c>
      <c r="F28" s="132">
        <f>s_C*s_EFiw*(1/365)*s_ETiw*(1/24)*Isospec!O27*s_Fin*s_Fi*s_Fam*s_Foff*s_GSFb</f>
        <v>2.943436119199772</v>
      </c>
      <c r="G28" s="132">
        <f>s_C*s_EFiw*(1/365)*s_ETiw*(1/24)*Isospec!P27*s_Fin*s_Fi*s_Fam*s_Foff*s_GSFb</f>
        <v>2.5127193793744294</v>
      </c>
      <c r="H28" s="2">
        <f>C28*Doses!I26</f>
        <v>0.24351029278517222</v>
      </c>
      <c r="I28" s="3">
        <f>D28*Doses!L26</f>
        <v>0.39717436188653593</v>
      </c>
      <c r="J28" s="3">
        <f>E28*Doses!M26</f>
        <v>0.25026544411225993</v>
      </c>
      <c r="K28" s="3">
        <f>F28*Doses!N26</f>
        <v>0.64330562446782535</v>
      </c>
      <c r="L28" s="5">
        <f>G28*Doses!O26</f>
        <v>0.71345148970205807</v>
      </c>
      <c r="M28" s="2">
        <f t="shared" ref="M28:Q28" si="13">IFERROR(H28/_1_bq,".")</f>
        <v>9.009880833051381E-3</v>
      </c>
      <c r="N28" s="3">
        <f t="shared" si="13"/>
        <v>1.4695451389801844E-2</v>
      </c>
      <c r="O28" s="3">
        <f t="shared" si="13"/>
        <v>9.2598214321536268E-3</v>
      </c>
      <c r="P28" s="3">
        <f t="shared" si="13"/>
        <v>2.3802308105309561E-2</v>
      </c>
      <c r="Q28" s="5">
        <f t="shared" si="13"/>
        <v>2.6397705118976177E-2</v>
      </c>
    </row>
    <row r="29" spans="1:17">
      <c r="A29" s="87" t="s">
        <v>40</v>
      </c>
      <c r="B29" s="90" t="s">
        <v>59</v>
      </c>
      <c r="C29" s="132">
        <f>s_C*s_EFiw*(1/365)*s_ETiw*(1/24)*Isospec!M28*s_Fin*s_Fi*s_Fam*s_Foff*s_GSFb</f>
        <v>1.0567973337593608E-3</v>
      </c>
      <c r="D29" s="132">
        <f>s_C*s_EFiw*(1/365)*s_ETiw*(1/24)*Isospec!L28*s_Fin*s_Fi*s_Fam*s_Foff*s_GSFb</f>
        <v>2.3807013728264839E-3</v>
      </c>
      <c r="E29" s="132">
        <f>s_C*s_EFiw*(1/365)*s_ETiw*(1/24)*Isospec!N28*s_Fin*s_Fi*s_Fam*s_Foff*s_GSFb</f>
        <v>1.9257515662100457E-3</v>
      </c>
      <c r="F29" s="132">
        <f>s_C*s_EFiw*(1/365)*s_ETiw*(1/24)*Isospec!O28*s_Fin*s_Fi*s_Fam*s_Foff*s_GSFb</f>
        <v>1.5259635881027397E-3</v>
      </c>
      <c r="G29" s="132">
        <f>s_C*s_EFiw*(1/365)*s_ETiw*(1/24)*Isospec!P28*s_Fin*s_Fi*s_Fam*s_Foff*s_GSFb</f>
        <v>1.5987060728732876E-3</v>
      </c>
      <c r="H29" s="2">
        <f>C29*Doses!I27</f>
        <v>1.3502826349123403E-5</v>
      </c>
      <c r="I29" s="3">
        <f>D29*Doses!L27</f>
        <v>1.7032204217585058E-4</v>
      </c>
      <c r="J29" s="3">
        <f>E29*Doses!M27</f>
        <v>1.4605053938262283E-5</v>
      </c>
      <c r="K29" s="3">
        <f>F29*Doses!N27</f>
        <v>1.6133829901379693E-5</v>
      </c>
      <c r="L29" s="5">
        <f>G29*Doses!O27</f>
        <v>1.9919174237329097E-5</v>
      </c>
      <c r="M29" s="2">
        <f t="shared" ref="M29:Q32" si="14">IFERROR(H29/_1_bq,".")</f>
        <v>4.9960457491756646E-7</v>
      </c>
      <c r="N29" s="3">
        <f t="shared" si="14"/>
        <v>6.3019155605064777E-6</v>
      </c>
      <c r="O29" s="3">
        <f t="shared" si="14"/>
        <v>5.4038699571570503E-7</v>
      </c>
      <c r="P29" s="3">
        <f t="shared" si="14"/>
        <v>5.9695170635104921E-7</v>
      </c>
      <c r="Q29" s="5">
        <f t="shared" si="14"/>
        <v>7.3700944678117736E-7</v>
      </c>
    </row>
    <row r="30" spans="1:17">
      <c r="A30" s="87" t="s">
        <v>41</v>
      </c>
      <c r="B30" s="12" t="s">
        <v>59</v>
      </c>
      <c r="C30" s="132">
        <f>s_C*s_EFiw*(1/365)*s_ETiw*(1/24)*Isospec!M29*s_Fin*s_Fi*s_Fam*s_Foff*s_GSFb</f>
        <v>4.4810667750913247</v>
      </c>
      <c r="D30" s="132">
        <f>s_C*s_EFiw*(1/365)*s_ETiw*(1/24)*Isospec!L29*s_Fin*s_Fi*s_Fam*s_Foff*s_GSFb</f>
        <v>4.1793600680936072</v>
      </c>
      <c r="E30" s="132">
        <f>s_C*s_EFiw*(1/365)*s_ETiw*(1/24)*Isospec!N29*s_Fin*s_Fi*s_Fam*s_Foff*s_GSFb</f>
        <v>5.112691878136987</v>
      </c>
      <c r="F30" s="132">
        <f>s_C*s_EFiw*(1/365)*s_ETiw*(1/24)*Isospec!O29*s_Fin*s_Fi*s_Fam*s_Foff*s_GSFb</f>
        <v>5.1410441163721465</v>
      </c>
      <c r="G30" s="132">
        <f>s_C*s_EFiw*(1/365)*s_ETiw*(1/24)*Isospec!P29*s_Fin*s_Fi*s_Fam*s_Foff*s_GSFb</f>
        <v>4.4366176089771692</v>
      </c>
      <c r="H30" s="2">
        <f>C30*Doses!I28</f>
        <v>57.6736595501484</v>
      </c>
      <c r="I30" s="3">
        <f>D30*Doses!L28</f>
        <v>9.8690572775948819</v>
      </c>
      <c r="J30" s="3">
        <f>E30*Doses!M28</f>
        <v>12.033640619733465</v>
      </c>
      <c r="K30" s="3">
        <f>F30*Doses!N28</f>
        <v>34.764562881967073</v>
      </c>
      <c r="L30" s="5">
        <f>G30*Doses!O28</f>
        <v>47.985213805766548</v>
      </c>
      <c r="M30" s="2">
        <f t="shared" si="14"/>
        <v>2.1339254033554931</v>
      </c>
      <c r="N30" s="3">
        <f t="shared" si="14"/>
        <v>0.36515511927101102</v>
      </c>
      <c r="O30" s="3">
        <f t="shared" si="14"/>
        <v>0.44524470293013862</v>
      </c>
      <c r="P30" s="3">
        <f t="shared" si="14"/>
        <v>1.286288826632783</v>
      </c>
      <c r="Q30" s="5">
        <f t="shared" si="14"/>
        <v>1.7754529108133641</v>
      </c>
    </row>
    <row r="31" spans="1:17">
      <c r="A31" s="87" t="s">
        <v>42</v>
      </c>
      <c r="B31" s="90" t="s">
        <v>59</v>
      </c>
      <c r="C31" s="132">
        <f>s_C*s_EFiw*(1/365)*s_ETiw*(1/24)*Isospec!M30*s_Fin*s_Fi*s_Fam*s_Foff*s_GSFb</f>
        <v>5.5489579785034238</v>
      </c>
      <c r="D31" s="132">
        <f>s_C*s_EFiw*(1/365)*s_ETiw*(1/24)*Isospec!L30*s_Fin*s_Fi*s_Fam*s_Foff*s_GSFb</f>
        <v>4.5695055501860731</v>
      </c>
      <c r="E31" s="132">
        <f>s_C*s_EFiw*(1/365)*s_ETiw*(1/24)*Isospec!N30*s_Fin*s_Fi*s_Fam*s_Foff*s_GSFb</f>
        <v>5.442835437605023</v>
      </c>
      <c r="F31" s="132">
        <f>s_C*s_EFiw*(1/365)*s_ETiw*(1/24)*Isospec!O30*s_Fin*s_Fi*s_Fam*s_Foff*s_GSFb</f>
        <v>5.5375233820399536</v>
      </c>
      <c r="G31" s="132">
        <f>s_C*s_EFiw*(1/365)*s_ETiw*(1/24)*Isospec!P30*s_Fin*s_Fi*s_Fam*s_Foff*s_GSFb</f>
        <v>4.7349541797865298</v>
      </c>
      <c r="H31" s="2">
        <f>C31*Doses!I29</f>
        <v>93.081772464522686</v>
      </c>
      <c r="I31" s="3">
        <f>D31*Doses!L29</f>
        <v>14.102225248762251</v>
      </c>
      <c r="J31" s="3">
        <f>E31*Doses!M29</f>
        <v>16.674235219811742</v>
      </c>
      <c r="K31" s="3">
        <f>F31*Doses!N29</f>
        <v>48.72068122173448</v>
      </c>
      <c r="L31" s="5">
        <f>G31*Doses!O29</f>
        <v>66.955850667358163</v>
      </c>
      <c r="M31" s="2">
        <f t="shared" si="14"/>
        <v>3.444025581187343</v>
      </c>
      <c r="N31" s="3">
        <f t="shared" si="14"/>
        <v>0.52178233420420383</v>
      </c>
      <c r="O31" s="3">
        <f t="shared" si="14"/>
        <v>0.61694670313303501</v>
      </c>
      <c r="P31" s="3">
        <f t="shared" si="14"/>
        <v>1.8026652052041776</v>
      </c>
      <c r="Q31" s="5">
        <f t="shared" si="14"/>
        <v>2.4773664746922544</v>
      </c>
    </row>
    <row r="32" spans="1:17" ht="13.5" thickBot="1">
      <c r="A32" s="87" t="s">
        <v>25</v>
      </c>
      <c r="B32" s="12" t="s">
        <v>59</v>
      </c>
      <c r="C32" s="132">
        <f>s_C*s_EFiw*(1/365)*s_ETiw*(1/24)*Isospec!M31*s_Fin*s_Fi*s_Fam*s_Foff*s_GSFb</f>
        <v>0.78575424741830524</v>
      </c>
      <c r="D32" s="132">
        <f>s_C*s_EFiw*(1/365)*s_ETiw*(1/24)*Isospec!L31*s_Fin*s_Fi*s_Fam*s_Foff*s_GSFb</f>
        <v>0.22738111408105025</v>
      </c>
      <c r="E32" s="132">
        <f>s_C*s_EFiw*(1/365)*s_ETiw*(1/24)*Isospec!N31*s_Fin*s_Fi*s_Fam*s_Foff*s_GSFb</f>
        <v>0.11097511651542237</v>
      </c>
      <c r="F32" s="132">
        <f>s_C*s_EFiw*(1/365)*s_ETiw*(1/24)*Isospec!O31*s_Fin*s_Fi*s_Fam*s_Foff*s_GSFb</f>
        <v>0.13506737404931507</v>
      </c>
      <c r="G32" s="132">
        <f>s_C*s_EFiw*(1/365)*s_ETiw*(1/24)*Isospec!P31*s_Fin*s_Fi*s_Fam*s_Foff*s_GSFb</f>
        <v>0.10681335286115297</v>
      </c>
      <c r="H32" s="2">
        <f>C32*Doses!I30</f>
        <v>7.2215215561527793E-4</v>
      </c>
      <c r="I32" s="3">
        <f>D32*Doses!L30</f>
        <v>1.2652485664371593E-4</v>
      </c>
      <c r="J32" s="3">
        <f>E32*Doses!M30</f>
        <v>3.0058720059367301E-5</v>
      </c>
      <c r="K32" s="3">
        <f>F32*Doses!N30</f>
        <v>8.8559355008166314E-5</v>
      </c>
      <c r="L32" s="5">
        <f>G32*Doses!O30</f>
        <v>9.4975015336845663E-5</v>
      </c>
      <c r="M32" s="2">
        <f t="shared" si="14"/>
        <v>2.6719629757765311E-5</v>
      </c>
      <c r="N32" s="3">
        <f t="shared" si="14"/>
        <v>4.6814196958174941E-6</v>
      </c>
      <c r="O32" s="3">
        <f t="shared" si="14"/>
        <v>1.1121726421965913E-6</v>
      </c>
      <c r="P32" s="3">
        <f t="shared" si="14"/>
        <v>3.2766961353021569E-6</v>
      </c>
      <c r="Q32" s="5">
        <f t="shared" si="14"/>
        <v>3.5140755674632931E-6</v>
      </c>
    </row>
    <row r="33" spans="1:17" ht="15">
      <c r="A33" s="109" t="s">
        <v>14</v>
      </c>
      <c r="B33" s="109" t="s">
        <v>59</v>
      </c>
      <c r="C33" s="132"/>
      <c r="D33" s="132"/>
      <c r="E33" s="132"/>
      <c r="F33" s="132"/>
      <c r="G33" s="132"/>
      <c r="H33" s="110">
        <f>SUM(H34:H46)</f>
        <v>3.7336973846281123</v>
      </c>
      <c r="I33" s="111">
        <f t="shared" ref="I33:L33" si="15">SUM(I34:I46)</f>
        <v>1.5933647689998467</v>
      </c>
      <c r="J33" s="111">
        <f t="shared" si="15"/>
        <v>1.2834217316272836</v>
      </c>
      <c r="K33" s="111">
        <f t="shared" si="15"/>
        <v>3.6644577018821338</v>
      </c>
      <c r="L33" s="111">
        <f t="shared" si="15"/>
        <v>4.3898565454426537</v>
      </c>
      <c r="M33" s="110">
        <f>IFERROR(H33/_1_bq,".")</f>
        <v>0.13814680323124029</v>
      </c>
      <c r="N33" s="111">
        <f t="shared" ref="N33:Q33" si="16">IFERROR(I33/_1_bq,".")</f>
        <v>5.8954496452994387E-2</v>
      </c>
      <c r="O33" s="111">
        <f t="shared" si="16"/>
        <v>4.7486604070209541E-2</v>
      </c>
      <c r="P33" s="111">
        <f t="shared" si="16"/>
        <v>0.13558493496963908</v>
      </c>
      <c r="Q33" s="112">
        <f t="shared" si="16"/>
        <v>0.16242469218137834</v>
      </c>
    </row>
    <row r="34" spans="1:17" ht="15">
      <c r="A34" s="113" t="s">
        <v>175</v>
      </c>
      <c r="B34" s="114">
        <v>1</v>
      </c>
      <c r="C34" s="132"/>
      <c r="D34" s="132"/>
      <c r="E34" s="132"/>
      <c r="F34" s="132"/>
      <c r="G34" s="132"/>
      <c r="H34" s="115">
        <f>IFERROR(VLOOKUP("Am-241",$A$4:$Q$32,3)*VLOOKUP("Am-241",Doses!$A$1:$O$30,9)*$B34,0)</f>
        <v>2.1864416567272411E-2</v>
      </c>
      <c r="I34" s="127">
        <f>IFERROR(VLOOKUP("Am-241",$A$4:$Q$32,4)*VLOOKUP("Am-241",Doses!$A$1:$O$30,12)*$B34,0)</f>
        <v>3.4028193650193932E-2</v>
      </c>
      <c r="J34" s="127">
        <f>IFERROR(VLOOKUP("Am-241",$A$4:$Q$32,5)*VLOOKUP("Am-241",Doses!$A$1:$O$30,13)*$B34,0)</f>
        <v>2.517659177662504E-2</v>
      </c>
      <c r="K34" s="127">
        <f>IFERROR(VLOOKUP("Am-241",$A$4:$Q$32,6)*VLOOKUP("Am-241",Doses!$A$1:$O$30,14)*$B34,0)</f>
        <v>4.2824053994632925E-2</v>
      </c>
      <c r="L34" s="127">
        <f>IFERROR(VLOOKUP("Am-241",$A$4:$Q$32,7)*VLOOKUP("Am-241",Doses!$A$1:$O$30,15)*$B34,0)</f>
        <v>2.9549491904463088E-2</v>
      </c>
      <c r="M34" s="115">
        <f t="shared" ref="M34:Q67" si="17">IFERROR(H34/_1_bq,".")</f>
        <v>8.0898341298907999E-4</v>
      </c>
      <c r="N34" s="127">
        <f t="shared" si="17"/>
        <v>1.2590431650571767E-3</v>
      </c>
      <c r="O34" s="127">
        <f t="shared" si="17"/>
        <v>9.3153389573512747E-4</v>
      </c>
      <c r="P34" s="127">
        <f t="shared" si="17"/>
        <v>1.58448999780142E-3</v>
      </c>
      <c r="Q34" s="117">
        <f t="shared" si="17"/>
        <v>1.0933312004651353E-3</v>
      </c>
    </row>
    <row r="35" spans="1:17" ht="15">
      <c r="A35" s="113" t="s">
        <v>176</v>
      </c>
      <c r="B35" s="114">
        <v>1</v>
      </c>
      <c r="C35" s="132"/>
      <c r="D35" s="132"/>
      <c r="E35" s="132"/>
      <c r="F35" s="132"/>
      <c r="G35" s="132"/>
      <c r="H35" s="115">
        <f>IFERROR(VLOOKUP("Np-237",$A$4:$Q$32,3)*VLOOKUP("Np-237",Doses!$A$1:$O$31,9)*$B35,0)</f>
        <v>5.0256663169167493E-2</v>
      </c>
      <c r="I35" s="127">
        <f>IFERROR(VLOOKUP("Np-237",$A$4:$Q$32,4)*VLOOKUP("Np-237",Doses!$A$1:$O$31,12)*$B35,0)</f>
        <v>7.197446265527542E-2</v>
      </c>
      <c r="J35" s="127">
        <f>IFERROR(VLOOKUP("Np-237",$A$4:$Q$32,5)*VLOOKUP("Np-237",Doses!$A$1:$O$31,13)*$B35,0)</f>
        <v>3.3039044881422737E-2</v>
      </c>
      <c r="K35" s="127">
        <f>IFERROR(VLOOKUP("Np-237",$A$4:$Q$32,6)*VLOOKUP("Np-237",Doses!$A$1:$O$31,14)*$B35,0)</f>
        <v>8.9163128265352956E-2</v>
      </c>
      <c r="L35" s="127">
        <f>IFERROR(VLOOKUP("Np-237",$A$4:$Q$32,7)*VLOOKUP("Np-237",Doses!$A$1:$O$31,15)*$B35,0)</f>
        <v>9.4659416676539723E-2</v>
      </c>
      <c r="M35" s="115">
        <f t="shared" si="17"/>
        <v>1.8594965372591991E-3</v>
      </c>
      <c r="N35" s="127">
        <f t="shared" si="17"/>
        <v>2.6630551182451933E-3</v>
      </c>
      <c r="O35" s="127">
        <f t="shared" si="17"/>
        <v>1.2224446606126425E-3</v>
      </c>
      <c r="P35" s="127">
        <f t="shared" si="17"/>
        <v>3.2990357458180628E-3</v>
      </c>
      <c r="Q35" s="117">
        <f t="shared" si="17"/>
        <v>3.5023984170319735E-3</v>
      </c>
    </row>
    <row r="36" spans="1:17" ht="15">
      <c r="A36" s="113" t="s">
        <v>177</v>
      </c>
      <c r="B36" s="114">
        <v>1</v>
      </c>
      <c r="C36" s="132"/>
      <c r="D36" s="132"/>
      <c r="E36" s="132"/>
      <c r="F36" s="132"/>
      <c r="G36" s="132"/>
      <c r="H36" s="115">
        <f>IFERROR(VLOOKUP("Pa-233",$A$4:$Q$32,3)*VLOOKUP("Pa-233",Doses!$A$1:$O$32,9)*$B36,0)</f>
        <v>1.7993395397443204</v>
      </c>
      <c r="I36" s="127">
        <f>IFERROR(VLOOKUP("Pa-233",$A$4:$Q$32,4)*VLOOKUP("Pa-233",Doses!$A$1:$O$32,12)*$B36,0)</f>
        <v>0.76113953046760741</v>
      </c>
      <c r="J36" s="127">
        <f>IFERROR(VLOOKUP("Pa-233",$A$4:$Q$32,5)*VLOOKUP("Pa-233",Doses!$A$1:$O$32,13)*$B36,0)</f>
        <v>0.62174815317450627</v>
      </c>
      <c r="K36" s="127">
        <f>IFERROR(VLOOKUP("Pa-233",$A$4:$Q$32,6)*VLOOKUP("Pa-233",Doses!$A$1:$O$32,14)*$B36,0)</f>
        <v>1.8679840915463222</v>
      </c>
      <c r="L36" s="127">
        <f>IFERROR(VLOOKUP("Pa-233",$A$4:$Q$32,7)*VLOOKUP("Pa-233",Doses!$A$1:$O$32,15)*$B36,0)</f>
        <v>2.1703570502205558</v>
      </c>
      <c r="M36" s="115">
        <f t="shared" si="17"/>
        <v>6.6575562970539917E-2</v>
      </c>
      <c r="N36" s="127">
        <f t="shared" si="17"/>
        <v>2.8162162627301503E-2</v>
      </c>
      <c r="O36" s="127">
        <f t="shared" si="17"/>
        <v>2.3004681667456756E-2</v>
      </c>
      <c r="P36" s="127">
        <f t="shared" si="17"/>
        <v>6.9115411387213985E-2</v>
      </c>
      <c r="Q36" s="117">
        <f t="shared" si="17"/>
        <v>8.030321085816064E-2</v>
      </c>
    </row>
    <row r="37" spans="1:17" ht="15">
      <c r="A37" s="113" t="s">
        <v>178</v>
      </c>
      <c r="B37" s="114">
        <v>1</v>
      </c>
      <c r="C37" s="132"/>
      <c r="D37" s="132"/>
      <c r="E37" s="132"/>
      <c r="F37" s="132"/>
      <c r="G37" s="132"/>
      <c r="H37" s="115">
        <f>IFERROR(VLOOKUP("U-233",$A$4:$Q$32,3)*VLOOKUP("U-233",Doses!$A$1:$O$33,9)*$B37,0)</f>
        <v>7.2215215561527793E-4</v>
      </c>
      <c r="I37" s="127">
        <f>IFERROR(VLOOKUP("U-233",$A$4:$Q$32,4)*VLOOKUP("U-233",Doses!$A$1:$O$33,12)*$B37,0)</f>
        <v>1.2652485664371593E-4</v>
      </c>
      <c r="J37" s="127">
        <f>IFERROR(VLOOKUP("U-233",$A$4:$Q$32,5)*VLOOKUP("U-233",Doses!$A$1:$O$33,13)*$B37,0)</f>
        <v>3.0058720059367301E-5</v>
      </c>
      <c r="K37" s="127">
        <f>IFERROR(VLOOKUP("U-233",$A$4:$Q$32,6)*VLOOKUP("U-233",Doses!$A$1:$O$33,14)*$B37,0)</f>
        <v>8.8559355008166314E-5</v>
      </c>
      <c r="L37" s="127">
        <f>IFERROR(VLOOKUP("U-233",$A$4:$Q$32,7)*VLOOKUP("U-233",Doses!$A$1:$O$33,15)*$B37,0)</f>
        <v>9.4975015336845663E-5</v>
      </c>
      <c r="M37" s="115">
        <f t="shared" si="17"/>
        <v>2.6719629757765311E-5</v>
      </c>
      <c r="N37" s="127">
        <f t="shared" si="17"/>
        <v>4.6814196958174941E-6</v>
      </c>
      <c r="O37" s="127">
        <f t="shared" si="17"/>
        <v>1.1121726421965913E-6</v>
      </c>
      <c r="P37" s="127">
        <f t="shared" si="17"/>
        <v>3.2766961353021569E-6</v>
      </c>
      <c r="Q37" s="117">
        <f t="shared" si="17"/>
        <v>3.5140755674632931E-6</v>
      </c>
    </row>
    <row r="38" spans="1:17" ht="15">
      <c r="A38" s="113" t="s">
        <v>179</v>
      </c>
      <c r="B38" s="114">
        <v>1</v>
      </c>
      <c r="C38" s="132"/>
      <c r="D38" s="132"/>
      <c r="E38" s="132"/>
      <c r="F38" s="132"/>
      <c r="G38" s="132"/>
      <c r="H38" s="115">
        <f>IFERROR(VLOOKUP("Th-229",$A$4:$Q$32,3)*VLOOKUP("Th-229",Doses!$A$1:$O$34,9)*$B38,0)</f>
        <v>0.24351029278517222</v>
      </c>
      <c r="I38" s="127">
        <f>IFERROR(VLOOKUP("Th-229",$A$4:$Q$32,4)*VLOOKUP("Th-229",Doses!$A$1:$O$34,12)*$B38,0)</f>
        <v>0.39717436188653593</v>
      </c>
      <c r="J38" s="127">
        <f>IFERROR(VLOOKUP("Th-229",$A$4:$Q$32,5)*VLOOKUP("Th-229",Doses!$A$1:$O$34,13)*$B38,0)</f>
        <v>0.25026544411225993</v>
      </c>
      <c r="K38" s="127">
        <f>IFERROR(VLOOKUP("Th-229",$A$4:$Q$32,6)*VLOOKUP("Th-229",Doses!$A$1:$O$34,14)*$B38,0)</f>
        <v>0.64330562446782535</v>
      </c>
      <c r="L38" s="127">
        <f>IFERROR(VLOOKUP("Th-229",$A$4:$Q$32,7)*VLOOKUP("Th-229",Doses!$A$1:$O$34,15)*$B38,0)</f>
        <v>0.71345148970205807</v>
      </c>
      <c r="M38" s="115">
        <f t="shared" si="17"/>
        <v>9.009880833051381E-3</v>
      </c>
      <c r="N38" s="127">
        <f t="shared" si="17"/>
        <v>1.4695451389801844E-2</v>
      </c>
      <c r="O38" s="127">
        <f t="shared" si="17"/>
        <v>9.2598214321536268E-3</v>
      </c>
      <c r="P38" s="127">
        <f t="shared" si="17"/>
        <v>2.3802308105309561E-2</v>
      </c>
      <c r="Q38" s="117">
        <f t="shared" si="17"/>
        <v>2.6397705118976177E-2</v>
      </c>
    </row>
    <row r="39" spans="1:17" ht="15">
      <c r="A39" s="113" t="s">
        <v>180</v>
      </c>
      <c r="B39" s="114">
        <v>1</v>
      </c>
      <c r="C39" s="132"/>
      <c r="D39" s="132"/>
      <c r="E39" s="132"/>
      <c r="F39" s="132"/>
      <c r="G39" s="132"/>
      <c r="H39" s="115">
        <f>IFERROR(VLOOKUP("Ra-225",$A$4:$Q$32,3)*VLOOKUP("Ra-225",Doses!$A$1:$O$35,9)*$B39,0)</f>
        <v>9.249100679109154E-3</v>
      </c>
      <c r="I39" s="127">
        <f>IFERROR(VLOOKUP("Ra-225",$A$4:$Q$32,4)*VLOOKUP("Ra-225",Doses!$A$1:$O$35,12)*$B39,0)</f>
        <v>1.1880121543290854E-2</v>
      </c>
      <c r="J39" s="127">
        <f>IFERROR(VLOOKUP("Ra-225",$A$4:$Q$32,5)*VLOOKUP("Ra-225",Doses!$A$1:$O$35,13)*$B39,0)</f>
        <v>3.761576640462607E-3</v>
      </c>
      <c r="K39" s="127">
        <f>IFERROR(VLOOKUP("Ra-225",$A$4:$Q$32,6)*VLOOKUP("Ra-225",Doses!$A$1:$O$35,14)*$B39,0)</f>
        <v>5.4481615839190997E-3</v>
      </c>
      <c r="L39" s="127">
        <f>IFERROR(VLOOKUP("Ra-225",$A$4:$Q$32,7)*VLOOKUP("Ra-225",Doses!$A$1:$O$35,15)*$B39,0)</f>
        <v>4.9626740490837408E-3</v>
      </c>
      <c r="M39" s="115">
        <f t="shared" si="17"/>
        <v>3.4221672512703904E-4</v>
      </c>
      <c r="N39" s="127">
        <f t="shared" si="17"/>
        <v>4.3956449710176202E-4</v>
      </c>
      <c r="O39" s="127">
        <f t="shared" si="17"/>
        <v>1.3917833569711659E-4</v>
      </c>
      <c r="P39" s="127">
        <f t="shared" si="17"/>
        <v>2.0158197860500689E-4</v>
      </c>
      <c r="Q39" s="117">
        <f t="shared" si="17"/>
        <v>1.8361893981609859E-4</v>
      </c>
    </row>
    <row r="40" spans="1:17" ht="15">
      <c r="A40" s="113" t="s">
        <v>181</v>
      </c>
      <c r="B40" s="114">
        <v>1</v>
      </c>
      <c r="C40" s="132"/>
      <c r="D40" s="132"/>
      <c r="E40" s="132"/>
      <c r="F40" s="132"/>
      <c r="G40" s="132"/>
      <c r="H40" s="115">
        <f>IFERROR(VLOOKUP("Ac-225",$A$4:$Q$32,3)*VLOOKUP("Ac-225",Doses!$A$1:$O$36,9)*$B40,0)</f>
        <v>1.5906912271358639E-2</v>
      </c>
      <c r="I40" s="127">
        <f>IFERROR(VLOOKUP("Ac-225",$A$4:$Q$32,4)*VLOOKUP("Ac-225",Doses!$A$1:$O$36,12)*$B40,0)</f>
        <v>1.4634866548894138E-2</v>
      </c>
      <c r="J40" s="127">
        <f>IFERROR(VLOOKUP("Ac-225",$A$4:$Q$32,5)*VLOOKUP("Ac-225",Doses!$A$1:$O$36,13)*$B40,0)</f>
        <v>8.3243370251017742E-3</v>
      </c>
      <c r="K40" s="127">
        <f>IFERROR(VLOOKUP("Ac-225",$A$4:$Q$32,6)*VLOOKUP("Ac-225",Doses!$A$1:$O$36,14)*$B40,0)</f>
        <v>2.2777697779810927E-2</v>
      </c>
      <c r="L40" s="127">
        <f>IFERROR(VLOOKUP("Ac-225",$A$4:$Q$32,7)*VLOOKUP("Ac-225",Doses!$A$1:$O$36,15)*$B40,0)</f>
        <v>2.5933793275182276E-2</v>
      </c>
      <c r="M40" s="115">
        <f t="shared" si="17"/>
        <v>5.8855575404027026E-4</v>
      </c>
      <c r="N40" s="127">
        <f t="shared" si="17"/>
        <v>5.4149006230908361E-4</v>
      </c>
      <c r="O40" s="127">
        <f t="shared" si="17"/>
        <v>3.0800046992876594E-4</v>
      </c>
      <c r="P40" s="127">
        <f t="shared" si="17"/>
        <v>8.4277481785300517E-4</v>
      </c>
      <c r="Q40" s="117">
        <f t="shared" si="17"/>
        <v>9.5955035118174524E-4</v>
      </c>
    </row>
    <row r="41" spans="1:17" ht="15">
      <c r="A41" s="113" t="s">
        <v>182</v>
      </c>
      <c r="B41" s="114">
        <v>1</v>
      </c>
      <c r="C41" s="132"/>
      <c r="D41" s="132"/>
      <c r="E41" s="132"/>
      <c r="F41" s="132"/>
      <c r="G41" s="132"/>
      <c r="H41" s="115">
        <f>IFERROR(VLOOKUP("Fr-221",$A$4:$Q$32,3)*VLOOKUP("Fr-221",Doses!$A$1:$O$37,9)*$B41,0)</f>
        <v>3.0121578146168383E-2</v>
      </c>
      <c r="I41" s="127">
        <f>IFERROR(VLOOKUP("Fr-221",$A$4:$Q$32,4)*VLOOKUP("Fr-221",Doses!$A$1:$O$37,12)*$B41,0)</f>
        <v>9.2814651207099811E-3</v>
      </c>
      <c r="J41" s="127">
        <f>IFERROR(VLOOKUP("Fr-221",$A$4:$Q$32,5)*VLOOKUP("Fr-221",Doses!$A$1:$O$37,13)*$B41,0)</f>
        <v>1.0293357410249759E-2</v>
      </c>
      <c r="K41" s="127">
        <f>IFERROR(VLOOKUP("Fr-221",$A$4:$Q$32,6)*VLOOKUP("Fr-221",Doses!$A$1:$O$37,14)*$B41,0)</f>
        <v>2.6772111725341274E-2</v>
      </c>
      <c r="L41" s="127">
        <f>IFERROR(VLOOKUP("Fr-221",$A$4:$Q$32,7)*VLOOKUP("Fr-221",Doses!$A$1:$O$37,15)*$B41,0)</f>
        <v>3.1521458274420038E-2</v>
      </c>
      <c r="M41" s="115">
        <f t="shared" si="17"/>
        <v>1.1144983914082314E-3</v>
      </c>
      <c r="N41" s="127">
        <f t="shared" si="17"/>
        <v>3.4341420946626964E-4</v>
      </c>
      <c r="O41" s="127">
        <f t="shared" si="17"/>
        <v>3.8085422417924149E-4</v>
      </c>
      <c r="P41" s="127">
        <f t="shared" si="17"/>
        <v>9.9056813383762809E-4</v>
      </c>
      <c r="Q41" s="117">
        <f t="shared" si="17"/>
        <v>1.1662939561535425E-3</v>
      </c>
    </row>
    <row r="42" spans="1:17" ht="15">
      <c r="A42" s="113" t="s">
        <v>183</v>
      </c>
      <c r="B42" s="114">
        <v>1</v>
      </c>
      <c r="C42" s="132"/>
      <c r="D42" s="132"/>
      <c r="E42" s="132"/>
      <c r="F42" s="132"/>
      <c r="G42" s="132"/>
      <c r="H42" s="115">
        <f>IFERROR(VLOOKUP("At-217",$A$4:$Q$32,3)*VLOOKUP("At-217",Doses!$A$1:$O$38,9)*$B42,0)</f>
        <v>1.8897202777879715E-6</v>
      </c>
      <c r="I42" s="127">
        <f>IFERROR(VLOOKUP("At-217",$A$4:$Q$32,4)*VLOOKUP("At-217",Doses!$A$1:$O$38,12)*$B42,0)</f>
        <v>4.9435944416087171E-7</v>
      </c>
      <c r="J42" s="127">
        <f>IFERROR(VLOOKUP("At-217",$A$4:$Q$32,5)*VLOOKUP("At-217",Doses!$A$1:$O$38,13)*$B42,0)</f>
        <v>5.2976685033890902E-7</v>
      </c>
      <c r="K42" s="127">
        <f>IFERROR(VLOOKUP("At-217",$A$4:$Q$32,6)*VLOOKUP("At-217",Doses!$A$1:$O$38,14)*$B42,0)</f>
        <v>1.410869369225718E-6</v>
      </c>
      <c r="L42" s="127">
        <f>IFERROR(VLOOKUP("At-217",$A$4:$Q$32,7)*VLOOKUP("At-217",Doses!$A$1:$O$38,15)*$B42,0)</f>
        <v>1.8679079453628995E-6</v>
      </c>
      <c r="M42" s="115">
        <f t="shared" si="17"/>
        <v>6.9919650278155013E-8</v>
      </c>
      <c r="N42" s="127">
        <f t="shared" si="17"/>
        <v>1.8291299433952271E-8</v>
      </c>
      <c r="O42" s="127">
        <f t="shared" si="17"/>
        <v>1.9601373462539653E-8</v>
      </c>
      <c r="P42" s="127">
        <f t="shared" si="17"/>
        <v>5.2202166661351619E-8</v>
      </c>
      <c r="Q42" s="117">
        <f t="shared" si="17"/>
        <v>6.9112593978427356E-8</v>
      </c>
    </row>
    <row r="43" spans="1:17" ht="15">
      <c r="A43" s="113" t="s">
        <v>184</v>
      </c>
      <c r="B43" s="118">
        <v>0.99987999999999999</v>
      </c>
      <c r="C43" s="132"/>
      <c r="D43" s="132"/>
      <c r="E43" s="132"/>
      <c r="F43" s="132"/>
      <c r="G43" s="132"/>
      <c r="H43" s="115">
        <f>IFERROR(VLOOKUP("Bi-213",$A$4:$Q$32,3)*VLOOKUP("Bi-213",Doses!$A$1:$O$39,9)*$B43,0)</f>
        <v>0.35748998121184156</v>
      </c>
      <c r="I43" s="127">
        <f>IFERROR(VLOOKUP("Bi-213",$A$4:$Q$32,4)*VLOOKUP("Bi-213",Doses!$A$1:$O$39,12)*$B43,0)</f>
        <v>8.6886200022326887E-2</v>
      </c>
      <c r="J43" s="127">
        <f>IFERROR(VLOOKUP("Bi-213",$A$4:$Q$32,5)*VLOOKUP("Bi-213",Doses!$A$1:$O$39,13)*$B43,0)</f>
        <v>7.9309726254487276E-2</v>
      </c>
      <c r="K43" s="127">
        <f>IFERROR(VLOOKUP("Bi-213",$A$4:$Q$32,6)*VLOOKUP("Bi-213",Doses!$A$1:$O$39,14)*$B43,0)</f>
        <v>0.23960067794386897</v>
      </c>
      <c r="L43" s="127">
        <f>IFERROR(VLOOKUP("Bi-213",$A$4:$Q$32,7)*VLOOKUP("Bi-213",Doses!$A$1:$O$39,15)*$B43,0)</f>
        <v>0.31655369371166725</v>
      </c>
      <c r="M43" s="115">
        <f t="shared" si="17"/>
        <v>1.322712930483815E-2</v>
      </c>
      <c r="N43" s="127">
        <f t="shared" si="17"/>
        <v>3.214789400826098E-3</v>
      </c>
      <c r="O43" s="127">
        <f t="shared" si="17"/>
        <v>2.9344598714160322E-3</v>
      </c>
      <c r="P43" s="127">
        <f t="shared" si="17"/>
        <v>8.865225083923161E-3</v>
      </c>
      <c r="Q43" s="117">
        <f t="shared" si="17"/>
        <v>1.17124866673317E-2</v>
      </c>
    </row>
    <row r="44" spans="1:17" ht="15">
      <c r="A44" s="113" t="s">
        <v>185</v>
      </c>
      <c r="B44" s="114">
        <v>0.97898250799999997</v>
      </c>
      <c r="C44" s="132"/>
      <c r="D44" s="132"/>
      <c r="E44" s="132"/>
      <c r="F44" s="132"/>
      <c r="G44" s="132"/>
      <c r="H44" s="115">
        <f>IFERROR(VLOOKUP("Po-213",$A$4:$Q$32,3)*VLOOKUP("Po-213",Doses!$A$1:$O$40,9)*$B44,0)</f>
        <v>1.911785871427305E-8</v>
      </c>
      <c r="I44" s="127">
        <f>IFERROR(VLOOKUP("Po-213",$A$4:$Q$32,4)*VLOOKUP("Po-213",Doses!$A$1:$O$40,12)*$B44,0)</f>
        <v>2.3828430676220177E-9</v>
      </c>
      <c r="J44" s="127">
        <f>IFERROR(VLOOKUP("Po-213",$A$4:$Q$32,5)*VLOOKUP("Po-213",Doses!$A$1:$O$40,13)*$B44,0)</f>
        <v>3.2835035597371487E-9</v>
      </c>
      <c r="K44" s="127">
        <f>IFERROR(VLOOKUP("Po-213",$A$4:$Q$32,6)*VLOOKUP("Po-213",Doses!$A$1:$O$40,14)*$B44,0)</f>
        <v>9.6412794233148216E-9</v>
      </c>
      <c r="L44" s="127">
        <f>IFERROR(VLOOKUP("Po-213",$A$4:$Q$32,7)*VLOOKUP("Po-213",Doses!$A$1:$O$40,15)*$B44,0)</f>
        <v>1.3081106285240011E-8</v>
      </c>
      <c r="M44" s="115">
        <f t="shared" si="17"/>
        <v>7.0736077242810353E-10</v>
      </c>
      <c r="N44" s="127">
        <f t="shared" si="17"/>
        <v>8.8165193502014739E-11</v>
      </c>
      <c r="O44" s="127">
        <f t="shared" si="17"/>
        <v>1.2148963171027462E-10</v>
      </c>
      <c r="P44" s="127">
        <f t="shared" si="17"/>
        <v>3.5672733866264877E-10</v>
      </c>
      <c r="Q44" s="117">
        <f t="shared" si="17"/>
        <v>4.8400093255388094E-10</v>
      </c>
    </row>
    <row r="45" spans="1:17" ht="15">
      <c r="A45" s="113" t="s">
        <v>186</v>
      </c>
      <c r="B45" s="114">
        <v>2.0897492E-2</v>
      </c>
      <c r="C45" s="132"/>
      <c r="D45" s="132"/>
      <c r="E45" s="132"/>
      <c r="F45" s="132"/>
      <c r="G45" s="132"/>
      <c r="H45" s="115">
        <f>IFERROR(VLOOKUP("Tl-209",$A$4:$Q$32,3)*VLOOKUP("Tl-209",Doses!$A$1:$O$41,9)*$B45,0)</f>
        <v>1.2052348390599499</v>
      </c>
      <c r="I45" s="127">
        <f>IFERROR(VLOOKUP("Tl-209",$A$4:$Q$32,4)*VLOOKUP("Tl-209",Doses!$A$1:$O$41,12)*$B45,0)</f>
        <v>0.20623854550608084</v>
      </c>
      <c r="J45" s="127">
        <f>IFERROR(VLOOKUP("Tl-209",$A$4:$Q$32,5)*VLOOKUP("Tl-209",Doses!$A$1:$O$41,13)*$B45,0)</f>
        <v>0.25147290858175514</v>
      </c>
      <c r="K45" s="127">
        <f>IFERROR(VLOOKUP("Tl-209",$A$4:$Q$32,6)*VLOOKUP("Tl-209",Doses!$A$1:$O$41,14)*$B45,0)</f>
        <v>0.72649217470940386</v>
      </c>
      <c r="L45" s="127">
        <f>IFERROR(VLOOKUP("Tl-209",$A$4:$Q$32,7)*VLOOKUP("Tl-209",Doses!$A$1:$O$41,15)*$B45,0)</f>
        <v>1.002770621624296</v>
      </c>
      <c r="M45" s="115">
        <f t="shared" si="17"/>
        <v>4.4593689045218189E-2</v>
      </c>
      <c r="N45" s="127">
        <f t="shared" si="17"/>
        <v>7.630826183724999E-3</v>
      </c>
      <c r="O45" s="127">
        <f t="shared" si="17"/>
        <v>9.3044976175249497E-3</v>
      </c>
      <c r="P45" s="127">
        <f t="shared" si="17"/>
        <v>2.6880210464247972E-2</v>
      </c>
      <c r="Q45" s="117">
        <f t="shared" si="17"/>
        <v>3.7102513000098987E-2</v>
      </c>
    </row>
    <row r="46" spans="1:17" ht="15">
      <c r="A46" s="113" t="s">
        <v>187</v>
      </c>
      <c r="B46" s="114">
        <v>0.99987999999999999</v>
      </c>
      <c r="C46" s="132"/>
      <c r="D46" s="132"/>
      <c r="E46" s="132"/>
      <c r="F46" s="132"/>
      <c r="G46" s="132"/>
      <c r="H46" s="115">
        <f>IFERROR(VLOOKUP("Pb-209",$A$4:$Q$32,3)*VLOOKUP("Pb-209",Doses!$A$1:$O$42,9)*$B46,0)</f>
        <v>0</v>
      </c>
      <c r="I46" s="127">
        <f>IFERROR(VLOOKUP("Pb-209",$A$4:$Q$32,4)*VLOOKUP("Pb-209",Doses!$A$1:$O$42,12)*$B46,0)</f>
        <v>0</v>
      </c>
      <c r="J46" s="127">
        <f>IFERROR(VLOOKUP("Pb-209",$A$4:$Q$32,5)*VLOOKUP("Pb-209",Doses!$A$1:$O$42,13)*$B46,0)</f>
        <v>0</v>
      </c>
      <c r="K46" s="127">
        <f>IFERROR(VLOOKUP("Pb-209",$A$4:$Q$32,6)*VLOOKUP("Pb-209",Doses!$A$1:$O$42,14)*$B46,0)</f>
        <v>0</v>
      </c>
      <c r="L46" s="127">
        <f>IFERROR(VLOOKUP("Pb-209",$A$4:$Q$32,7)*VLOOKUP("Pb-209",Doses!$A$1:$O$42,15)*$B46,0)</f>
        <v>0</v>
      </c>
      <c r="M46" s="115">
        <f t="shared" si="17"/>
        <v>0</v>
      </c>
      <c r="N46" s="127">
        <f t="shared" si="17"/>
        <v>0</v>
      </c>
      <c r="O46" s="127">
        <f t="shared" si="17"/>
        <v>0</v>
      </c>
      <c r="P46" s="127">
        <f t="shared" si="17"/>
        <v>0</v>
      </c>
      <c r="Q46" s="117">
        <f t="shared" si="17"/>
        <v>0</v>
      </c>
    </row>
    <row r="47" spans="1:17" ht="15">
      <c r="A47" s="109" t="s">
        <v>17</v>
      </c>
      <c r="B47" s="109" t="s">
        <v>59</v>
      </c>
      <c r="C47" s="132"/>
      <c r="D47" s="132"/>
      <c r="E47" s="132"/>
      <c r="F47" s="132"/>
      <c r="G47" s="132"/>
      <c r="H47" s="119">
        <f>SUM(H48:H49)</f>
        <v>5.0456592159055216</v>
      </c>
      <c r="I47" s="126">
        <f t="shared" ref="I47:L47" si="18">SUM(I48:I49)</f>
        <v>0.74241389637929767</v>
      </c>
      <c r="J47" s="126">
        <f t="shared" si="18"/>
        <v>0.96520531414794164</v>
      </c>
      <c r="K47" s="126">
        <f t="shared" si="18"/>
        <v>2.9765657268998518</v>
      </c>
      <c r="L47" s="126">
        <f t="shared" si="18"/>
        <v>3.7053039508495864</v>
      </c>
      <c r="M47" s="119">
        <f t="shared" si="17"/>
        <v>0.18668939098850448</v>
      </c>
      <c r="N47" s="126">
        <f t="shared" si="17"/>
        <v>2.7469314166034042E-2</v>
      </c>
      <c r="O47" s="126">
        <f t="shared" si="17"/>
        <v>3.5712596623473876E-2</v>
      </c>
      <c r="P47" s="126">
        <f t="shared" si="17"/>
        <v>0.11013293189529463</v>
      </c>
      <c r="Q47" s="121">
        <f t="shared" si="17"/>
        <v>0.13709624618143484</v>
      </c>
    </row>
    <row r="48" spans="1:17" ht="15">
      <c r="A48" s="113" t="s">
        <v>188</v>
      </c>
      <c r="B48" s="114">
        <v>1</v>
      </c>
      <c r="C48" s="132"/>
      <c r="D48" s="132"/>
      <c r="E48" s="132"/>
      <c r="F48" s="132"/>
      <c r="G48" s="132"/>
      <c r="H48" s="115">
        <f>IFERROR(VLOOKUP("Cs-137",$A$4:$Q$32,3)*VLOOKUP("Cs-137",Doses!$A$1:$O$40,9)*$B48,0)</f>
        <v>8.5475743879832559E-9</v>
      </c>
      <c r="I48" s="127">
        <f>IFERROR(VLOOKUP("Cs-137",$A$4:$Q$32,4)*VLOOKUP("Cs-137",Doses!$A$1:$O$40,12)*$B48,0)</f>
        <v>5.1698853455399386E-3</v>
      </c>
      <c r="J48" s="127">
        <f>IFERROR(VLOOKUP("Cs-137",$A$4:$Q$32,5)*VLOOKUP("Cs-137",Doses!$A$1:$O$40,13)*$B48,0)</f>
        <v>7.1583716748918993E-4</v>
      </c>
      <c r="K48" s="127">
        <f>IFERROR(VLOOKUP("Cs-137",$A$4:$Q$32,6)*VLOOKUP("Cs-137",Doses!$A$1:$O$40,14)*$B48,0)</f>
        <v>1.1927271579531941E-3</v>
      </c>
      <c r="L48" s="127">
        <f>IFERROR(VLOOKUP("Cs-137",$A$4:$Q$32,7)*VLOOKUP("Cs-137",Doses!$A$1:$O$40,15)*$B48,0)</f>
        <v>1.9793451358308999E-3</v>
      </c>
      <c r="M48" s="115">
        <f t="shared" si="17"/>
        <v>3.162602523553808E-10</v>
      </c>
      <c r="N48" s="127">
        <f t="shared" si="17"/>
        <v>1.9128575778497791E-4</v>
      </c>
      <c r="O48" s="127">
        <f t="shared" si="17"/>
        <v>2.6485975197100056E-5</v>
      </c>
      <c r="P48" s="127">
        <f t="shared" si="17"/>
        <v>4.4130904844268231E-5</v>
      </c>
      <c r="Q48" s="117">
        <f t="shared" si="17"/>
        <v>7.3235770025743377E-5</v>
      </c>
    </row>
    <row r="49" spans="1:17" ht="15">
      <c r="A49" s="113" t="s">
        <v>189</v>
      </c>
      <c r="B49" s="114">
        <v>0.94399</v>
      </c>
      <c r="C49" s="132"/>
      <c r="D49" s="132"/>
      <c r="E49" s="132"/>
      <c r="F49" s="132"/>
      <c r="G49" s="132"/>
      <c r="H49" s="115">
        <f>IFERROR(VLOOKUP("Ba-137m",$A$4:$Q$32,3)*VLOOKUP("Ba-137m",Doses!$A$1:$O$40,9)*$B49,0)</f>
        <v>5.0456592073579474</v>
      </c>
      <c r="I49" s="127">
        <f>IFERROR(VLOOKUP("Ba-137m",$A$4:$Q$32,4)*VLOOKUP("Ba-137m",Doses!$A$1:$O$40,12)*$B49,0)</f>
        <v>0.7372440110337577</v>
      </c>
      <c r="J49" s="127">
        <f>IFERROR(VLOOKUP("Ba-137m",$A$4:$Q$32,5)*VLOOKUP("Ba-137m",Doses!$A$1:$O$40,13)*$B49,0)</f>
        <v>0.9644894769804524</v>
      </c>
      <c r="K49" s="127">
        <f>IFERROR(VLOOKUP("Ba-137m",$A$4:$Q$32,6)*VLOOKUP("Ba-137m",Doses!$A$1:$O$40,14)*$B49,0)</f>
        <v>2.9753729997418987</v>
      </c>
      <c r="L49" s="127">
        <f>IFERROR(VLOOKUP("Ba-137m",$A$4:$Q$32,7)*VLOOKUP("Ba-137m",Doses!$A$1:$O$40,15)*$B49,0)</f>
        <v>3.7033246057137554</v>
      </c>
      <c r="M49" s="115">
        <f t="shared" si="17"/>
        <v>0.18668939067224424</v>
      </c>
      <c r="N49" s="127">
        <f t="shared" si="17"/>
        <v>2.7278028408249062E-2</v>
      </c>
      <c r="O49" s="127">
        <f t="shared" si="17"/>
        <v>3.5686110648276773E-2</v>
      </c>
      <c r="P49" s="127">
        <f t="shared" si="17"/>
        <v>0.11008880099045036</v>
      </c>
      <c r="Q49" s="117">
        <f t="shared" si="17"/>
        <v>0.1370230104114091</v>
      </c>
    </row>
    <row r="50" spans="1:17" ht="15">
      <c r="A50" s="109" t="s">
        <v>27</v>
      </c>
      <c r="B50" s="109" t="s">
        <v>59</v>
      </c>
      <c r="C50" s="132"/>
      <c r="D50" s="132"/>
      <c r="E50" s="132"/>
      <c r="F50" s="132"/>
      <c r="G50" s="132"/>
      <c r="H50" s="119">
        <f>SUM(H51:H64)</f>
        <v>22.946426848509532</v>
      </c>
      <c r="I50" s="126">
        <f>SUM(I51:I64)</f>
        <v>3.14186099381965</v>
      </c>
      <c r="J50" s="126">
        <f>SUM(J51:J64)</f>
        <v>3.9415998146461257</v>
      </c>
      <c r="K50" s="126">
        <f>SUM(K51:K64)</f>
        <v>11.718550049298614</v>
      </c>
      <c r="L50" s="126">
        <f>SUM(L51:L64)</f>
        <v>15.77341666631818</v>
      </c>
      <c r="M50" s="119">
        <f t="shared" si="17"/>
        <v>0.8490177933948535</v>
      </c>
      <c r="N50" s="126">
        <f t="shared" si="17"/>
        <v>0.11624885677132717</v>
      </c>
      <c r="O50" s="126">
        <f t="shared" si="17"/>
        <v>0.1458391931419068</v>
      </c>
      <c r="P50" s="126">
        <f t="shared" si="17"/>
        <v>0.43358635182404914</v>
      </c>
      <c r="Q50" s="121">
        <f t="shared" si="17"/>
        <v>0.58361641665377328</v>
      </c>
    </row>
    <row r="51" spans="1:17" ht="15">
      <c r="A51" s="113" t="s">
        <v>190</v>
      </c>
      <c r="B51" s="114">
        <v>1</v>
      </c>
      <c r="C51" s="132"/>
      <c r="D51" s="132"/>
      <c r="E51" s="132"/>
      <c r="F51" s="132"/>
      <c r="G51" s="132"/>
      <c r="H51" s="115">
        <f>IFERROR(VLOOKUP("Ra-226",$A$4:$Q$32,3)*VLOOKUP("Ra-226",Doses!$A$1:$O$40,9)*$B51,0)</f>
        <v>2.0043940214818637E-3</v>
      </c>
      <c r="I51" s="127">
        <f>IFERROR(VLOOKUP("Ra-226",$A$4:$Q$32,4)*VLOOKUP("Ra-226",Doses!$A$1:$O$40,12)*$B51,0)</f>
        <v>9.7958324997323813E-3</v>
      </c>
      <c r="J51" s="127">
        <f>IFERROR(VLOOKUP("Ra-226",$A$4:$Q$32,5)*VLOOKUP("Ra-226",Doses!$A$1:$O$40,13)*$B51,0)</f>
        <v>1.2907693480679137E-2</v>
      </c>
      <c r="K51" s="127">
        <f>IFERROR(VLOOKUP("Ra-226",$A$4:$Q$32,6)*VLOOKUP("Ra-226",Doses!$A$1:$O$40,14)*$B51,0)</f>
        <v>3.4989786915015753E-2</v>
      </c>
      <c r="L51" s="127">
        <f>IFERROR(VLOOKUP("Ra-226",$A$4:$Q$32,7)*VLOOKUP("Ra-226",Doses!$A$1:$O$40,15)*$B51,0)</f>
        <v>5.2568909302988499E-2</v>
      </c>
      <c r="M51" s="115">
        <f t="shared" si="17"/>
        <v>7.4162578794829026E-5</v>
      </c>
      <c r="N51" s="127">
        <f t="shared" si="17"/>
        <v>3.6244580249009849E-4</v>
      </c>
      <c r="O51" s="127">
        <f t="shared" si="17"/>
        <v>4.7758465878512853E-4</v>
      </c>
      <c r="P51" s="127">
        <f t="shared" si="17"/>
        <v>1.2946221158555841E-3</v>
      </c>
      <c r="Q51" s="117">
        <f t="shared" si="17"/>
        <v>1.9450496442105765E-3</v>
      </c>
    </row>
    <row r="52" spans="1:17" ht="15">
      <c r="A52" s="113" t="s">
        <v>191</v>
      </c>
      <c r="B52" s="114">
        <v>1</v>
      </c>
      <c r="C52" s="132"/>
      <c r="D52" s="132"/>
      <c r="E52" s="132"/>
      <c r="F52" s="132"/>
      <c r="G52" s="132"/>
      <c r="H52" s="115">
        <f>IFERROR(VLOOKUP("Rn-222",$A$4:$Q$32,3)*VLOOKUP("Rn-222",Doses!$A$1:$O$40,9)*$B52,0)</f>
        <v>2.8177814490929135E-6</v>
      </c>
      <c r="I52" s="127">
        <f>IFERROR(VLOOKUP("Rn-222",$A$4:$Q$32,4)*VLOOKUP("Rn-222",Doses!$A$1:$O$40,12)*$B52,0)</f>
        <v>4.0719050750258575E-7</v>
      </c>
      <c r="J52" s="127">
        <f>IFERROR(VLOOKUP("Rn-222",$A$4:$Q$32,5)*VLOOKUP("Rn-222",Doses!$A$1:$O$40,13)*$B52,0)</f>
        <v>5.3979039670697912E-7</v>
      </c>
      <c r="K52" s="127">
        <f>IFERROR(VLOOKUP("Rn-222",$A$4:$Q$32,6)*VLOOKUP("Rn-222",Doses!$A$1:$O$40,14)*$B52,0)</f>
        <v>1.7902934028574665E-6</v>
      </c>
      <c r="L52" s="127">
        <f>IFERROR(VLOOKUP("Rn-222",$A$4:$Q$32,7)*VLOOKUP("Rn-222",Doses!$A$1:$O$40,15)*$B52,0)</f>
        <v>2.5797160727336173E-6</v>
      </c>
      <c r="M52" s="115">
        <f t="shared" si="17"/>
        <v>1.0425791361643791E-7</v>
      </c>
      <c r="N52" s="127">
        <f t="shared" si="17"/>
        <v>1.5066048777595687E-8</v>
      </c>
      <c r="O52" s="127">
        <f t="shared" si="17"/>
        <v>1.9972244678158248E-8</v>
      </c>
      <c r="P52" s="127">
        <f t="shared" si="17"/>
        <v>6.6240855905726329E-8</v>
      </c>
      <c r="Q52" s="117">
        <f t="shared" si="17"/>
        <v>9.5449494691143933E-8</v>
      </c>
    </row>
    <row r="53" spans="1:17" ht="15">
      <c r="A53" s="113" t="s">
        <v>192</v>
      </c>
      <c r="B53" s="114">
        <v>1</v>
      </c>
      <c r="C53" s="132"/>
      <c r="D53" s="132"/>
      <c r="E53" s="132"/>
      <c r="F53" s="132"/>
      <c r="G53" s="132"/>
      <c r="H53" s="115">
        <f>IFERROR(VLOOKUP("Po-218",$A$4:$Q$32,3)*VLOOKUP("Po-218",Doses!$A$1:$O$40,9)*$B53,0)</f>
        <v>0</v>
      </c>
      <c r="I53" s="127">
        <f>IFERROR(VLOOKUP("Po-218",$A$4:$Q$32,4)*VLOOKUP("Po-218",Doses!$A$1:$O$40,12)*$B53,0)</f>
        <v>0</v>
      </c>
      <c r="J53" s="127">
        <f>IFERROR(VLOOKUP("Po-218",$A$4:$Q$32,5)*VLOOKUP("Po-218",Doses!$A$1:$O$40,13)*$B53,0)</f>
        <v>0</v>
      </c>
      <c r="K53" s="127">
        <f>IFERROR(VLOOKUP("Po-218",$A$4:$Q$32,6)*VLOOKUP("Po-218",Doses!$A$1:$O$40,14)*$B53,0)</f>
        <v>0</v>
      </c>
      <c r="L53" s="127">
        <f>IFERROR(VLOOKUP("Po-218",$A$4:$Q$32,7)*VLOOKUP("Po-218",Doses!$A$1:$O$40,15)*$B53,0)</f>
        <v>0</v>
      </c>
      <c r="M53" s="115">
        <f t="shared" si="17"/>
        <v>0</v>
      </c>
      <c r="N53" s="127">
        <f t="shared" si="17"/>
        <v>0</v>
      </c>
      <c r="O53" s="127">
        <f t="shared" si="17"/>
        <v>0</v>
      </c>
      <c r="P53" s="127">
        <f t="shared" si="17"/>
        <v>0</v>
      </c>
      <c r="Q53" s="117">
        <f t="shared" si="17"/>
        <v>0</v>
      </c>
    </row>
    <row r="54" spans="1:17" ht="15">
      <c r="A54" s="113" t="s">
        <v>194</v>
      </c>
      <c r="B54" s="114">
        <v>2.0000000000000001E-4</v>
      </c>
      <c r="C54" s="132"/>
      <c r="D54" s="132"/>
      <c r="E54" s="132"/>
      <c r="F54" s="132"/>
      <c r="G54" s="132"/>
      <c r="H54" s="115">
        <f>IFERROR(VLOOKUP("At-218",$A$4:$Q$32,3)*VLOOKUP("At-218",Doses!$A$1:$O$40,9)*$B54,0)</f>
        <v>0</v>
      </c>
      <c r="I54" s="127">
        <f>IFERROR(VLOOKUP("At-218",$A$4:$Q$32,4)*VLOOKUP("At-218",Doses!$A$1:$O$40,12)*$B54,0)</f>
        <v>0</v>
      </c>
      <c r="J54" s="127">
        <f>IFERROR(VLOOKUP("At-218",$A$4:$Q$32,5)*VLOOKUP("At-218",Doses!$A$1:$O$40,13)*$B54,0)</f>
        <v>0</v>
      </c>
      <c r="K54" s="127">
        <f>IFERROR(VLOOKUP("At-218",$A$4:$Q$32,6)*VLOOKUP("At-218",Doses!$A$1:$O$40,14)*$B54,0)</f>
        <v>0</v>
      </c>
      <c r="L54" s="127">
        <f>IFERROR(VLOOKUP("At-218",$A$4:$Q$32,7)*VLOOKUP("At-218",Doses!$A$1:$O$40,15)*$B54,0)</f>
        <v>0</v>
      </c>
      <c r="M54" s="115">
        <f t="shared" ref="M54:Q55" si="19">IFERROR(H54/_1_bq,".")</f>
        <v>0</v>
      </c>
      <c r="N54" s="127">
        <f t="shared" si="19"/>
        <v>0</v>
      </c>
      <c r="O54" s="127">
        <f t="shared" si="19"/>
        <v>0</v>
      </c>
      <c r="P54" s="127">
        <f t="shared" si="19"/>
        <v>0</v>
      </c>
      <c r="Q54" s="117">
        <f t="shared" si="19"/>
        <v>0</v>
      </c>
    </row>
    <row r="55" spans="1:17" ht="15">
      <c r="A55" s="113" t="s">
        <v>196</v>
      </c>
      <c r="B55" s="114">
        <v>1.9999999999999999E-7</v>
      </c>
      <c r="C55" s="132"/>
      <c r="D55" s="132"/>
      <c r="E55" s="132"/>
      <c r="F55" s="132"/>
      <c r="G55" s="132"/>
      <c r="H55" s="115">
        <f>IFERROR(VLOOKUP("Rn-218",$A$4:$Q$32,3)*VLOOKUP("Rn-218",Doses!$A$1:$O$40,9)*$B55,0)</f>
        <v>1.8112832466550607E-12</v>
      </c>
      <c r="I55" s="127">
        <f>IFERROR(VLOOKUP("Rn-218",$A$4:$Q$32,4)*VLOOKUP("Rn-218",Doses!$A$1:$O$40,12)*$B55,0)</f>
        <v>2.5108130876980906E-13</v>
      </c>
      <c r="J55" s="127">
        <f>IFERROR(VLOOKUP("Rn-218",$A$4:$Q$32,5)*VLOOKUP("Rn-218",Doses!$A$1:$O$40,13)*$B55,0)</f>
        <v>3.4598909701767059E-13</v>
      </c>
      <c r="K55" s="127">
        <f>IFERROR(VLOOKUP("Rn-218",$A$4:$Q$32,6)*VLOOKUP("Rn-218",Doses!$A$1:$O$40,14)*$B55,0)</f>
        <v>1.0835275832590542E-12</v>
      </c>
      <c r="L55" s="127">
        <f>IFERROR(VLOOKUP("Rn-218",$A$4:$Q$32,7)*VLOOKUP("Rn-218",Doses!$A$1:$O$40,15)*$B55,0)</f>
        <v>1.3322928024776565E-12</v>
      </c>
      <c r="M55" s="115">
        <f t="shared" si="19"/>
        <v>6.7017480126237309E-14</v>
      </c>
      <c r="N55" s="127">
        <f t="shared" si="19"/>
        <v>9.2900084244829442E-15</v>
      </c>
      <c r="O55" s="127">
        <f t="shared" si="19"/>
        <v>1.2801596589653825E-14</v>
      </c>
      <c r="P55" s="127">
        <f t="shared" si="19"/>
        <v>4.0090520580585045E-14</v>
      </c>
      <c r="Q55" s="117">
        <f t="shared" si="19"/>
        <v>4.9294833691673341E-14</v>
      </c>
    </row>
    <row r="56" spans="1:17" ht="15">
      <c r="A56" s="113" t="s">
        <v>193</v>
      </c>
      <c r="B56" s="114">
        <v>0.99980000000000002</v>
      </c>
      <c r="C56" s="132"/>
      <c r="D56" s="132"/>
      <c r="E56" s="132"/>
      <c r="F56" s="132"/>
      <c r="G56" s="132"/>
      <c r="H56" s="115">
        <f>IFERROR(VLOOKUP("Pb-214",$A$4:$Q$32,3)*VLOOKUP("Pb-214",Doses!$A$1:$O$40,9)*$B56,0)</f>
        <v>1.8518956414681254</v>
      </c>
      <c r="I56" s="127">
        <f>IFERROR(VLOOKUP("Pb-214",$A$4:$Q$32,4)*VLOOKUP("Pb-214",Doses!$A$1:$O$40,12)*$B56,0)</f>
        <v>0.50040762225833857</v>
      </c>
      <c r="J56" s="127">
        <f>IFERROR(VLOOKUP("Pb-214",$A$4:$Q$32,5)*VLOOKUP("Pb-214",Doses!$A$1:$O$40,13)*$B56,0)</f>
        <v>0.51227446836918411</v>
      </c>
      <c r="K56" s="127">
        <f>IFERROR(VLOOKUP("Pb-214",$A$4:$Q$32,6)*VLOOKUP("Pb-214",Doses!$A$1:$O$40,14)*$B56,0)</f>
        <v>1.4263379822545177</v>
      </c>
      <c r="L56" s="127">
        <f>IFERROR(VLOOKUP("Pb-214",$A$4:$Q$32,7)*VLOOKUP("Pb-214",Doses!$A$1:$O$40,15)*$B56,0)</f>
        <v>1.8150384756853917</v>
      </c>
      <c r="M56" s="115">
        <f t="shared" si="17"/>
        <v>6.852013873432071E-2</v>
      </c>
      <c r="N56" s="127">
        <f t="shared" si="17"/>
        <v>1.8515082023558546E-2</v>
      </c>
      <c r="O56" s="127">
        <f t="shared" si="17"/>
        <v>1.8954155329659831E-2</v>
      </c>
      <c r="P56" s="127">
        <f t="shared" si="17"/>
        <v>5.2774505343417211E-2</v>
      </c>
      <c r="Q56" s="117">
        <f t="shared" si="17"/>
        <v>6.715642360035956E-2</v>
      </c>
    </row>
    <row r="57" spans="1:17" ht="15">
      <c r="A57" s="113" t="s">
        <v>195</v>
      </c>
      <c r="B57" s="114">
        <v>0.99999979999999999</v>
      </c>
      <c r="C57" s="132"/>
      <c r="D57" s="132"/>
      <c r="E57" s="132"/>
      <c r="F57" s="132"/>
      <c r="G57" s="132"/>
      <c r="H57" s="115">
        <f>IFERROR(VLOOKUP("Bi-214",$A$4:$Q$32,3)*VLOOKUP("Bi-214",Doses!$A$1:$O$40,9)*$B57,0)</f>
        <v>21.072486781191301</v>
      </c>
      <c r="I57" s="127">
        <f>IFERROR(VLOOKUP("Bi-214",$A$4:$Q$32,4)*VLOOKUP("Bi-214",Doses!$A$1:$O$40,12)*$B57,0)</f>
        <v>2.6259998692951472</v>
      </c>
      <c r="J57" s="127">
        <f>IFERROR(VLOOKUP("Bi-214",$A$4:$Q$32,5)*VLOOKUP("Bi-214",Doses!$A$1:$O$40,13)*$B57,0)</f>
        <v>3.4122249221452998</v>
      </c>
      <c r="K57" s="127">
        <f>IFERROR(VLOOKUP("Bi-214",$A$4:$Q$32,6)*VLOOKUP("Bi-214",Doses!$A$1:$O$40,14)*$B57,0)</f>
        <v>10.245933870290536</v>
      </c>
      <c r="L57" s="127">
        <f>IFERROR(VLOOKUP("Bi-214",$A$4:$Q$32,7)*VLOOKUP("Bi-214",Doses!$A$1:$O$40,15)*$B57,0)</f>
        <v>13.890736250162513</v>
      </c>
      <c r="M57" s="115">
        <f t="shared" si="17"/>
        <v>0.77968201090407896</v>
      </c>
      <c r="N57" s="127">
        <f t="shared" si="17"/>
        <v>9.7161995163920545E-2</v>
      </c>
      <c r="O57" s="127">
        <f t="shared" si="17"/>
        <v>0.12625232211937623</v>
      </c>
      <c r="P57" s="127">
        <f t="shared" si="17"/>
        <v>0.37909955320075023</v>
      </c>
      <c r="Q57" s="117">
        <f t="shared" si="17"/>
        <v>0.5139572412560135</v>
      </c>
    </row>
    <row r="58" spans="1:17" ht="15">
      <c r="A58" s="113" t="s">
        <v>197</v>
      </c>
      <c r="B58" s="114">
        <v>0.99979000004200003</v>
      </c>
      <c r="C58" s="132"/>
      <c r="D58" s="132"/>
      <c r="E58" s="132"/>
      <c r="F58" s="132"/>
      <c r="G58" s="132"/>
      <c r="H58" s="115">
        <f>IFERROR(VLOOKUP("Po-214",$A$4:$Q$32,3)*VLOOKUP("Po-214",Doses!$A$1:$O$40,9)*$B58,0)</f>
        <v>9.3176929781811485E-8</v>
      </c>
      <c r="I58" s="127">
        <f>IFERROR(VLOOKUP("Po-214",$A$4:$Q$32,4)*VLOOKUP("Po-214",Doses!$A$1:$O$40,12)*$B58,0)</f>
        <v>1.10846598935043E-8</v>
      </c>
      <c r="J58" s="127">
        <f>IFERROR(VLOOKUP("Po-214",$A$4:$Q$32,5)*VLOOKUP("Po-214",Doses!$A$1:$O$40,13)*$B58,0)</f>
        <v>1.5638514784426971E-8</v>
      </c>
      <c r="K58" s="127">
        <f>IFERROR(VLOOKUP("Po-214",$A$4:$Q$32,6)*VLOOKUP("Po-214",Doses!$A$1:$O$40,14)*$B58,0)</f>
        <v>4.5873063250231903E-8</v>
      </c>
      <c r="L58" s="127">
        <f>IFERROR(VLOOKUP("Po-214",$A$4:$Q$32,7)*VLOOKUP("Po-214",Doses!$A$1:$O$40,15)*$B58,0)</f>
        <v>6.2865997395721753E-8</v>
      </c>
      <c r="M58" s="115">
        <f t="shared" si="17"/>
        <v>3.4475464019270283E-9</v>
      </c>
      <c r="N58" s="127">
        <f t="shared" si="17"/>
        <v>4.1013241605965953E-10</v>
      </c>
      <c r="O58" s="127">
        <f t="shared" si="17"/>
        <v>5.7862504702379854E-10</v>
      </c>
      <c r="P58" s="127">
        <f t="shared" si="17"/>
        <v>1.6973033402585822E-9</v>
      </c>
      <c r="Q58" s="117">
        <f t="shared" si="17"/>
        <v>2.3260419036417071E-9</v>
      </c>
    </row>
    <row r="59" spans="1:17" ht="15">
      <c r="A59" s="113" t="s">
        <v>198</v>
      </c>
      <c r="B59" s="114">
        <v>2.0999995799999999E-4</v>
      </c>
      <c r="C59" s="132"/>
      <c r="D59" s="132"/>
      <c r="E59" s="132"/>
      <c r="F59" s="132"/>
      <c r="G59" s="132"/>
      <c r="H59" s="115">
        <f>IFERROR(VLOOKUP("Tl-210",$A$4:$Q$32,3)*VLOOKUP("Tl-210",Doses!$A$1:$O$40,9)*$B59,0)</f>
        <v>1.9547168308115318E-2</v>
      </c>
      <c r="I59" s="127">
        <f>IFERROR(VLOOKUP("Tl-210",$A$4:$Q$32,4)*VLOOKUP("Tl-210",Doses!$A$1:$O$40,12)*$B59,0)</f>
        <v>2.9614667099466122E-3</v>
      </c>
      <c r="J59" s="127">
        <f>IFERROR(VLOOKUP("Tl-210",$A$4:$Q$32,5)*VLOOKUP("Tl-210",Doses!$A$1:$O$40,13)*$B59,0)</f>
        <v>3.5015886958425862E-3</v>
      </c>
      <c r="K59" s="127">
        <f>IFERROR(VLOOKUP("Tl-210",$A$4:$Q$32,6)*VLOOKUP("Tl-210",Doses!$A$1:$O$40,14)*$B59,0)</f>
        <v>1.0231341010295629E-2</v>
      </c>
      <c r="L59" s="127">
        <f>IFERROR(VLOOKUP("Tl-210",$A$4:$Q$32,7)*VLOOKUP("Tl-210",Doses!$A$1:$O$40,15)*$B59,0)</f>
        <v>1.4060725827999485E-2</v>
      </c>
      <c r="M59" s="115">
        <f t="shared" si="17"/>
        <v>7.2324522740026753E-4</v>
      </c>
      <c r="N59" s="127">
        <f t="shared" si="17"/>
        <v>1.0957426826802476E-4</v>
      </c>
      <c r="O59" s="127">
        <f t="shared" si="17"/>
        <v>1.2955878174617582E-4</v>
      </c>
      <c r="P59" s="127">
        <f t="shared" si="17"/>
        <v>3.7855961738093863E-4</v>
      </c>
      <c r="Q59" s="117">
        <f t="shared" si="17"/>
        <v>5.2024685563598148E-4</v>
      </c>
    </row>
    <row r="60" spans="1:17" ht="15">
      <c r="A60" s="113" t="s">
        <v>199</v>
      </c>
      <c r="B60" s="114">
        <v>1</v>
      </c>
      <c r="C60" s="132"/>
      <c r="D60" s="132"/>
      <c r="E60" s="132"/>
      <c r="F60" s="132"/>
      <c r="G60" s="132"/>
      <c r="H60" s="115">
        <f>IFERROR(VLOOKUP("Pb-210",$A$4:$Q$32,3)*VLOOKUP("Pb-210",Doses!$A$1:$O$40,9)*$B60,0)</f>
        <v>4.8993265510209887E-4</v>
      </c>
      <c r="I60" s="127">
        <f>IFERROR(VLOOKUP("Pb-210",$A$4:$Q$32,4)*VLOOKUP("Pb-210",Doses!$A$1:$O$40,12)*$B60,0)</f>
        <v>2.6957003262371203E-3</v>
      </c>
      <c r="J60" s="127">
        <f>IFERROR(VLOOKUP("Pb-210",$A$4:$Q$32,5)*VLOOKUP("Pb-210",Doses!$A$1:$O$40,13)*$B60,0)</f>
        <v>6.9057684050274329E-4</v>
      </c>
      <c r="K60" s="127">
        <f>IFERROR(VLOOKUP("Pb-210",$A$4:$Q$32,6)*VLOOKUP("Pb-210",Doses!$A$1:$O$40,14)*$B60,0)</f>
        <v>1.055215463487798E-3</v>
      </c>
      <c r="L60" s="127">
        <f>IFERROR(VLOOKUP("Pb-210",$A$4:$Q$32,7)*VLOOKUP("Pb-210",Doses!$A$1:$O$40,15)*$B60,0)</f>
        <v>1.0096437977307564E-3</v>
      </c>
      <c r="M60" s="115">
        <f t="shared" si="17"/>
        <v>1.8127508238777677E-5</v>
      </c>
      <c r="N60" s="127">
        <f t="shared" si="17"/>
        <v>9.9740912070773552E-5</v>
      </c>
      <c r="O60" s="127">
        <f t="shared" si="17"/>
        <v>2.5551343098601528E-5</v>
      </c>
      <c r="P60" s="127">
        <f t="shared" si="17"/>
        <v>3.9042972149048568E-5</v>
      </c>
      <c r="Q60" s="117">
        <f t="shared" si="17"/>
        <v>3.7356820516038027E-5</v>
      </c>
    </row>
    <row r="61" spans="1:17" ht="15">
      <c r="A61" s="113" t="s">
        <v>200</v>
      </c>
      <c r="B61" s="114">
        <v>1</v>
      </c>
      <c r="C61" s="132"/>
      <c r="D61" s="132"/>
      <c r="E61" s="132"/>
      <c r="F61" s="132"/>
      <c r="G61" s="132"/>
      <c r="H61" s="115">
        <f>IFERROR(VLOOKUP("Bi-210",$A$4:$Q$32,3)*VLOOKUP("Bi-210",Doses!$A$1:$O$40,9)*$B61,0)</f>
        <v>1.0731711487979084E-8</v>
      </c>
      <c r="I61" s="127">
        <f>IFERROR(VLOOKUP("Bi-210",$A$4:$Q$32,4)*VLOOKUP("Bi-210",Doses!$A$1:$O$40,12)*$B61,0)</f>
        <v>8.1660972287616294E-8</v>
      </c>
      <c r="J61" s="127">
        <f>IFERROR(VLOOKUP("Bi-210",$A$4:$Q$32,5)*VLOOKUP("Bi-210",Doses!$A$1:$O$40,13)*$B61,0)</f>
        <v>7.2671996576855971E-9</v>
      </c>
      <c r="K61" s="127">
        <f>IFERROR(VLOOKUP("Bi-210",$A$4:$Q$32,6)*VLOOKUP("Bi-210",Doses!$A$1:$O$40,14)*$B61,0)</f>
        <v>1.0516623208962207E-8</v>
      </c>
      <c r="L61" s="127">
        <f>IFERROR(VLOOKUP("Bi-210",$A$4:$Q$32,7)*VLOOKUP("Bi-210",Doses!$A$1:$O$40,15)*$B61,0)</f>
        <v>1.052413396184737E-8</v>
      </c>
      <c r="M61" s="115">
        <f t="shared" si="17"/>
        <v>3.9707332505522654E-10</v>
      </c>
      <c r="N61" s="127">
        <f t="shared" si="17"/>
        <v>3.021455974641806E-9</v>
      </c>
      <c r="O61" s="127">
        <f t="shared" si="17"/>
        <v>2.6888638733436734E-10</v>
      </c>
      <c r="P61" s="127">
        <f t="shared" si="17"/>
        <v>3.8911505873160204E-10</v>
      </c>
      <c r="Q61" s="117">
        <f t="shared" si="17"/>
        <v>3.8939295658835306E-10</v>
      </c>
    </row>
    <row r="62" spans="1:17" ht="15">
      <c r="A62" s="113" t="s">
        <v>202</v>
      </c>
      <c r="B62" s="114">
        <v>1</v>
      </c>
      <c r="C62" s="132"/>
      <c r="D62" s="132"/>
      <c r="E62" s="132"/>
      <c r="F62" s="132"/>
      <c r="G62" s="132"/>
      <c r="H62" s="115">
        <f>IFERROR(VLOOKUP("Po-210",$A$4:$Q$32,3)*VLOOKUP("Po-210",Doses!$A$1:$O$40,9)*$B62,0)</f>
        <v>1.2732911012436964E-9</v>
      </c>
      <c r="I62" s="127">
        <f>IFERROR(VLOOKUP("Po-210",$A$4:$Q$32,4)*VLOOKUP("Po-210",Doses!$A$1:$O$40,12)*$B62,0)</f>
        <v>1.5096197041580229E-10</v>
      </c>
      <c r="J62" s="127">
        <f>IFERROR(VLOOKUP("Po-210",$A$4:$Q$32,5)*VLOOKUP("Po-210",Doses!$A$1:$O$40,13)*$B62,0)</f>
        <v>2.1304459145654457E-10</v>
      </c>
      <c r="K62" s="127">
        <f>IFERROR(VLOOKUP("Po-210",$A$4:$Q$32,6)*VLOOKUP("Po-210",Doses!$A$1:$O$40,14)*$B62,0)</f>
        <v>6.256549639220176E-10</v>
      </c>
      <c r="L62" s="127">
        <f>IFERROR(VLOOKUP("Po-210",$A$4:$Q$32,7)*VLOOKUP("Po-210",Doses!$A$1:$O$40,15)*$B62,0)</f>
        <v>8.5309264435445232E-10</v>
      </c>
      <c r="M62" s="115">
        <f t="shared" si="17"/>
        <v>4.7111770746016817E-11</v>
      </c>
      <c r="N62" s="127">
        <f t="shared" si="17"/>
        <v>5.5855929053846904E-12</v>
      </c>
      <c r="O62" s="127">
        <f t="shared" si="17"/>
        <v>7.8826498838921577E-12</v>
      </c>
      <c r="P62" s="127">
        <f t="shared" si="17"/>
        <v>2.3149233665114675E-11</v>
      </c>
      <c r="Q62" s="117">
        <f t="shared" si="17"/>
        <v>3.1564427841114769E-11</v>
      </c>
    </row>
    <row r="63" spans="1:17" ht="15">
      <c r="A63" s="113" t="s">
        <v>201</v>
      </c>
      <c r="B63" s="114">
        <v>1.9000000000000001E-8</v>
      </c>
      <c r="C63" s="132"/>
      <c r="D63" s="132"/>
      <c r="E63" s="132"/>
      <c r="F63" s="132"/>
      <c r="G63" s="132"/>
      <c r="H63" s="115">
        <f>IFERROR(VLOOKUP("Hg-206",$A$4:$Q$32,3)*VLOOKUP("Hg-206",Doses!$A$1:$O$40,9)*$B63,0)</f>
        <v>7.8821320391684824E-9</v>
      </c>
      <c r="I63" s="127">
        <f>IFERROR(VLOOKUP("Hg-206",$A$4:$Q$32,4)*VLOOKUP("Hg-206",Doses!$A$1:$O$40,12)*$B63,0)</f>
        <v>2.4148347701982483E-9</v>
      </c>
      <c r="J63" s="127">
        <f>IFERROR(VLOOKUP("Hg-206",$A$4:$Q$32,5)*VLOOKUP("Hg-206",Doses!$A$1:$O$40,13)*$B63,0)</f>
        <v>2.1855588813540219E-9</v>
      </c>
      <c r="K63" s="127">
        <f>IFERROR(VLOOKUP("Hg-206",$A$4:$Q$32,6)*VLOOKUP("Hg-206",Doses!$A$1:$O$40,14)*$B63,0)</f>
        <v>6.0333310703955953E-9</v>
      </c>
      <c r="L63" s="127">
        <f>IFERROR(VLOOKUP("Hg-206",$A$4:$Q$32,7)*VLOOKUP("Hg-206",Doses!$A$1:$O$40,15)*$B63,0)</f>
        <v>7.5542552827557505E-9</v>
      </c>
      <c r="M63" s="115">
        <f t="shared" si="17"/>
        <v>2.9163888544923412E-10</v>
      </c>
      <c r="N63" s="127">
        <f t="shared" si="17"/>
        <v>8.9348886497335271E-11</v>
      </c>
      <c r="O63" s="127">
        <f t="shared" si="17"/>
        <v>8.0865678610098887E-11</v>
      </c>
      <c r="P63" s="127">
        <f t="shared" si="17"/>
        <v>2.2323324960463725E-10</v>
      </c>
      <c r="Q63" s="117">
        <f t="shared" si="17"/>
        <v>2.7950744546196304E-10</v>
      </c>
    </row>
    <row r="64" spans="1:17" ht="15.75" thickBot="1">
      <c r="A64" s="113" t="s">
        <v>203</v>
      </c>
      <c r="B64" s="114">
        <v>1.339E-6</v>
      </c>
      <c r="C64" s="132"/>
      <c r="D64" s="132"/>
      <c r="E64" s="132"/>
      <c r="F64" s="132"/>
      <c r="G64" s="132"/>
      <c r="H64" s="122">
        <f>IFERROR(VLOOKUP("Tl-206",$A$4:$Q$32,3)*VLOOKUP("Tl-206",Doses!$A$1:$O$40,9)*$B64,0)</f>
        <v>1.8080284481476237E-11</v>
      </c>
      <c r="I64" s="123">
        <f>IFERROR(VLOOKUP("Tl-206",$A$4:$Q$32,4)*VLOOKUP("Tl-206",Doses!$A$1:$O$40,12)*$B64,0)</f>
        <v>2.2806121447346394E-10</v>
      </c>
      <c r="J64" s="123">
        <f>IFERROR(VLOOKUP("Tl-206",$A$4:$Q$32,5)*VLOOKUP("Tl-206",Doses!$A$1:$O$40,13)*$B64,0)</f>
        <v>1.9556167223333197E-11</v>
      </c>
      <c r="K64" s="123">
        <f>IFERROR(VLOOKUP("Tl-206",$A$4:$Q$32,6)*VLOOKUP("Tl-206",Doses!$A$1:$O$40,14)*$B64,0)</f>
        <v>2.1603198237947408E-11</v>
      </c>
      <c r="L64" s="123">
        <f>IFERROR(VLOOKUP("Tl-206",$A$4:$Q$32,7)*VLOOKUP("Tl-206",Doses!$A$1:$O$40,15)*$B64,0)</f>
        <v>2.667177430378366E-11</v>
      </c>
      <c r="M64" s="122">
        <f t="shared" si="17"/>
        <v>6.6897052581462147E-13</v>
      </c>
      <c r="N64" s="123">
        <f t="shared" si="17"/>
        <v>8.4382649355181747E-12</v>
      </c>
      <c r="O64" s="123">
        <f t="shared" si="17"/>
        <v>7.23578187263329E-13</v>
      </c>
      <c r="P64" s="123">
        <f t="shared" si="17"/>
        <v>7.9931833480405493E-13</v>
      </c>
      <c r="Q64" s="124">
        <f t="shared" si="17"/>
        <v>9.8685564923999632E-13</v>
      </c>
    </row>
    <row r="65" spans="1:17" ht="15">
      <c r="A65" s="109" t="s">
        <v>31</v>
      </c>
      <c r="B65" s="109" t="s">
        <v>59</v>
      </c>
      <c r="C65" s="132"/>
      <c r="D65" s="132"/>
      <c r="E65" s="132"/>
      <c r="F65" s="132"/>
      <c r="G65" s="132"/>
      <c r="H65" s="119">
        <f>SUM(H66:H78)</f>
        <v>22.944422454488052</v>
      </c>
      <c r="I65" s="126">
        <f t="shared" ref="I65:L65" si="20">SUM(I66:I78)</f>
        <v>3.1320651613199177</v>
      </c>
      <c r="J65" s="126">
        <f t="shared" si="20"/>
        <v>3.9286921211654464</v>
      </c>
      <c r="K65" s="126">
        <f t="shared" si="20"/>
        <v>11.683560262383599</v>
      </c>
      <c r="L65" s="126">
        <f t="shared" si="20"/>
        <v>15.720847757015191</v>
      </c>
      <c r="M65" s="119">
        <f t="shared" si="17"/>
        <v>0.84894363081605884</v>
      </c>
      <c r="N65" s="126">
        <f t="shared" si="17"/>
        <v>0.11588641096883708</v>
      </c>
      <c r="O65" s="126">
        <f t="shared" si="17"/>
        <v>0.14536160848312166</v>
      </c>
      <c r="P65" s="126">
        <f t="shared" si="17"/>
        <v>0.43229172970819363</v>
      </c>
      <c r="Q65" s="121">
        <f t="shared" si="17"/>
        <v>0.58167136700956268</v>
      </c>
    </row>
    <row r="66" spans="1:17" ht="15">
      <c r="A66" s="113" t="s">
        <v>191</v>
      </c>
      <c r="B66" s="114">
        <v>1</v>
      </c>
      <c r="C66" s="132"/>
      <c r="D66" s="132"/>
      <c r="E66" s="132"/>
      <c r="F66" s="132"/>
      <c r="G66" s="132"/>
      <c r="H66" s="115">
        <f>IFERROR(VLOOKUP("Rn-222",$A$4:$Q$32,3)*VLOOKUP("Rn-222",Doses!$A$1:$O$40,9)*$B66,0)</f>
        <v>2.8177814490929135E-6</v>
      </c>
      <c r="I66" s="127">
        <f>IFERROR(VLOOKUP("Rn-222",$A$4:$Q$32,4)*VLOOKUP("Rn-222",Doses!$A$1:$O$40,12)*$B66,0)</f>
        <v>4.0719050750258575E-7</v>
      </c>
      <c r="J66" s="127">
        <f>IFERROR(VLOOKUP("Rn-222",$A$4:$Q$32,5)*VLOOKUP("Rn-222",Doses!$A$1:$O$40,13)*$B66,0)</f>
        <v>5.3979039670697912E-7</v>
      </c>
      <c r="K66" s="127">
        <f>IFERROR(VLOOKUP("Rn-222",$A$4:$Q$32,6)*VLOOKUP("Rn-222",Doses!$A$1:$O$40,14)*$B66,0)</f>
        <v>1.7902934028574665E-6</v>
      </c>
      <c r="L66" s="127">
        <f>IFERROR(VLOOKUP("Rn-222",$A$4:$Q$32,7)*VLOOKUP("Rn-222",Doses!$A$1:$O$40,15)*$B66,0)</f>
        <v>2.5797160727336173E-6</v>
      </c>
      <c r="M66" s="115">
        <f t="shared" si="17"/>
        <v>1.0425791361643791E-7</v>
      </c>
      <c r="N66" s="127">
        <f t="shared" si="17"/>
        <v>1.5066048777595687E-8</v>
      </c>
      <c r="O66" s="127">
        <f t="shared" si="17"/>
        <v>1.9972244678158248E-8</v>
      </c>
      <c r="P66" s="127">
        <f t="shared" si="17"/>
        <v>6.6240855905726329E-8</v>
      </c>
      <c r="Q66" s="117">
        <f t="shared" si="17"/>
        <v>9.5449494691143933E-8</v>
      </c>
    </row>
    <row r="67" spans="1:17" ht="15">
      <c r="A67" s="113" t="s">
        <v>192</v>
      </c>
      <c r="B67" s="114">
        <v>1</v>
      </c>
      <c r="C67" s="132"/>
      <c r="D67" s="132"/>
      <c r="E67" s="132"/>
      <c r="F67" s="132"/>
      <c r="G67" s="132"/>
      <c r="H67" s="115">
        <f>IFERROR(VLOOKUP("Po-218",$A$4:$Q$32,3)*VLOOKUP("Po-218",Doses!$A$1:$O$40,9)*$B67,0)</f>
        <v>0</v>
      </c>
      <c r="I67" s="127">
        <f>IFERROR(VLOOKUP("Po-218",$A$4:$Q$32,4)*VLOOKUP("Po-218",Doses!$A$1:$O$40,12)*$B67,0)</f>
        <v>0</v>
      </c>
      <c r="J67" s="127">
        <f>IFERROR(VLOOKUP("Po-218",$A$4:$Q$32,5)*VLOOKUP("Po-218",Doses!$A$1:$O$40,13)*$B67,0)</f>
        <v>0</v>
      </c>
      <c r="K67" s="127">
        <f>IFERROR(VLOOKUP("Po-218",$A$4:$Q$32,6)*VLOOKUP("Po-218",Doses!$A$1:$O$40,14)*$B67,0)</f>
        <v>0</v>
      </c>
      <c r="L67" s="127">
        <f>IFERROR(VLOOKUP("Po-218",$A$4:$Q$32,7)*VLOOKUP("Po-218",Doses!$A$1:$O$40,15)*$B67,0)</f>
        <v>0</v>
      </c>
      <c r="M67" s="115">
        <f t="shared" si="17"/>
        <v>0</v>
      </c>
      <c r="N67" s="127">
        <f t="shared" si="17"/>
        <v>0</v>
      </c>
      <c r="O67" s="127">
        <f t="shared" si="17"/>
        <v>0</v>
      </c>
      <c r="P67" s="127">
        <f t="shared" si="17"/>
        <v>0</v>
      </c>
      <c r="Q67" s="117">
        <f t="shared" si="17"/>
        <v>0</v>
      </c>
    </row>
    <row r="68" spans="1:17" ht="15">
      <c r="A68" s="113" t="s">
        <v>194</v>
      </c>
      <c r="B68" s="114">
        <v>2.0000000000000001E-4</v>
      </c>
      <c r="C68" s="132"/>
      <c r="D68" s="132"/>
      <c r="E68" s="132"/>
      <c r="F68" s="132"/>
      <c r="G68" s="132"/>
      <c r="H68" s="115">
        <f>IFERROR(VLOOKUP("At-218",$A$4:$Q$32,3)*VLOOKUP("At-218",Doses!$A$1:$O$40,9)*$B68,0)</f>
        <v>0</v>
      </c>
      <c r="I68" s="127">
        <f>IFERROR(VLOOKUP("At-218",$A$4:$Q$32,4)*VLOOKUP("At-218",Doses!$A$1:$O$40,12)*$B68,0)</f>
        <v>0</v>
      </c>
      <c r="J68" s="127">
        <f>IFERROR(VLOOKUP("At-218",$A$4:$Q$32,5)*VLOOKUP("At-218",Doses!$A$1:$O$40,13)*$B68,0)</f>
        <v>0</v>
      </c>
      <c r="K68" s="127">
        <f>IFERROR(VLOOKUP("At-218",$A$4:$Q$32,6)*VLOOKUP("At-218",Doses!$A$1:$O$40,14)*$B68,0)</f>
        <v>0</v>
      </c>
      <c r="L68" s="127">
        <f>IFERROR(VLOOKUP("At-218",$A$4:$Q$32,7)*VLOOKUP("At-218",Doses!$A$1:$O$40,15)*$B68,0)</f>
        <v>0</v>
      </c>
      <c r="M68" s="115">
        <f t="shared" ref="M68:Q69" si="21">IFERROR(H68/_1_bq,".")</f>
        <v>0</v>
      </c>
      <c r="N68" s="127">
        <f t="shared" si="21"/>
        <v>0</v>
      </c>
      <c r="O68" s="127">
        <f t="shared" si="21"/>
        <v>0</v>
      </c>
      <c r="P68" s="127">
        <f t="shared" si="21"/>
        <v>0</v>
      </c>
      <c r="Q68" s="117">
        <f t="shared" si="21"/>
        <v>0</v>
      </c>
    </row>
    <row r="69" spans="1:17" ht="15">
      <c r="A69" s="113" t="s">
        <v>196</v>
      </c>
      <c r="B69" s="114">
        <v>1.9999999999999999E-7</v>
      </c>
      <c r="C69" s="132"/>
      <c r="D69" s="132"/>
      <c r="E69" s="132"/>
      <c r="F69" s="132"/>
      <c r="G69" s="132"/>
      <c r="H69" s="115">
        <f>IFERROR(VLOOKUP("Rn-218",$A$4:$Q$32,3)*VLOOKUP("Rn-218",Doses!$A$1:$O$40,9)*$B69,0)</f>
        <v>1.8112832466550607E-12</v>
      </c>
      <c r="I69" s="127">
        <f>IFERROR(VLOOKUP("Rn-218",$A$4:$Q$32,4)*VLOOKUP("Rn-218",Doses!$A$1:$O$40,12)*$B69,0)</f>
        <v>2.5108130876980906E-13</v>
      </c>
      <c r="J69" s="127">
        <f>IFERROR(VLOOKUP("Rn-218",$A$4:$Q$32,5)*VLOOKUP("Rn-218",Doses!$A$1:$O$40,13)*$B69,0)</f>
        <v>3.4598909701767059E-13</v>
      </c>
      <c r="K69" s="127">
        <f>IFERROR(VLOOKUP("Rn-218",$A$4:$Q$32,6)*VLOOKUP("Rn-218",Doses!$A$1:$O$40,14)*$B69,0)</f>
        <v>1.0835275832590542E-12</v>
      </c>
      <c r="L69" s="127">
        <f>IFERROR(VLOOKUP("Rn-218",$A$4:$Q$32,7)*VLOOKUP("Rn-218",Doses!$A$1:$O$40,15)*$B69,0)</f>
        <v>1.3322928024776565E-12</v>
      </c>
      <c r="M69" s="115">
        <f t="shared" si="21"/>
        <v>6.7017480126237309E-14</v>
      </c>
      <c r="N69" s="127">
        <f t="shared" si="21"/>
        <v>9.2900084244829442E-15</v>
      </c>
      <c r="O69" s="127">
        <f t="shared" si="21"/>
        <v>1.2801596589653825E-14</v>
      </c>
      <c r="P69" s="127">
        <f t="shared" si="21"/>
        <v>4.0090520580585045E-14</v>
      </c>
      <c r="Q69" s="117">
        <f t="shared" si="21"/>
        <v>4.9294833691673341E-14</v>
      </c>
    </row>
    <row r="70" spans="1:17" ht="15">
      <c r="A70" s="113" t="s">
        <v>193</v>
      </c>
      <c r="B70" s="114">
        <v>0.99980000000000002</v>
      </c>
      <c r="C70" s="132"/>
      <c r="D70" s="132"/>
      <c r="E70" s="132"/>
      <c r="F70" s="132"/>
      <c r="G70" s="132"/>
      <c r="H70" s="115">
        <f>IFERROR(VLOOKUP("Pb-214",$A$4:$Q$32,3)*VLOOKUP("Pb-214",Doses!$A$1:$O$40,9)*$B70,0)</f>
        <v>1.8518956414681254</v>
      </c>
      <c r="I70" s="127">
        <f>IFERROR(VLOOKUP("Pb-214",$A$4:$Q$32,4)*VLOOKUP("Pb-214",Doses!$A$1:$O$40,12)*$B70,0)</f>
        <v>0.50040762225833857</v>
      </c>
      <c r="J70" s="127">
        <f>IFERROR(VLOOKUP("Pb-214",$A$4:$Q$32,5)*VLOOKUP("Pb-214",Doses!$A$1:$O$40,13)*$B70,0)</f>
        <v>0.51227446836918411</v>
      </c>
      <c r="K70" s="127">
        <f>IFERROR(VLOOKUP("Pb-214",$A$4:$Q$32,6)*VLOOKUP("Pb-214",Doses!$A$1:$O$40,14)*$B70,0)</f>
        <v>1.4263379822545177</v>
      </c>
      <c r="L70" s="127">
        <f>IFERROR(VLOOKUP("Pb-214",$A$4:$Q$32,7)*VLOOKUP("Pb-214",Doses!$A$1:$O$40,15)*$B70,0)</f>
        <v>1.8150384756853917</v>
      </c>
      <c r="M70" s="115">
        <f t="shared" ref="M70:Q78" si="22">IFERROR(H70/_1_bq,".")</f>
        <v>6.852013873432071E-2</v>
      </c>
      <c r="N70" s="127">
        <f t="shared" si="22"/>
        <v>1.8515082023558546E-2</v>
      </c>
      <c r="O70" s="127">
        <f t="shared" si="22"/>
        <v>1.8954155329659831E-2</v>
      </c>
      <c r="P70" s="127">
        <f t="shared" si="22"/>
        <v>5.2774505343417211E-2</v>
      </c>
      <c r="Q70" s="117">
        <f t="shared" si="22"/>
        <v>6.715642360035956E-2</v>
      </c>
    </row>
    <row r="71" spans="1:17" ht="15">
      <c r="A71" s="113" t="s">
        <v>195</v>
      </c>
      <c r="B71" s="114">
        <v>0.99999979999999999</v>
      </c>
      <c r="C71" s="132"/>
      <c r="D71" s="132"/>
      <c r="E71" s="132"/>
      <c r="F71" s="132"/>
      <c r="G71" s="132"/>
      <c r="H71" s="115">
        <f>IFERROR(VLOOKUP("Bi-214",$A$4:$Q$32,3)*VLOOKUP("Bi-214",Doses!$A$1:$O$40,9)*$B71,0)</f>
        <v>21.072486781191301</v>
      </c>
      <c r="I71" s="127">
        <f>IFERROR(VLOOKUP("Bi-214",$A$4:$Q$32,4)*VLOOKUP("Bi-214",Doses!$A$1:$O$40,12)*$B71,0)</f>
        <v>2.6259998692951472</v>
      </c>
      <c r="J71" s="127">
        <f>IFERROR(VLOOKUP("Bi-214",$A$4:$Q$32,5)*VLOOKUP("Bi-214",Doses!$A$1:$O$40,13)*$B71,0)</f>
        <v>3.4122249221452998</v>
      </c>
      <c r="K71" s="127">
        <f>IFERROR(VLOOKUP("Bi-214",$A$4:$Q$32,6)*VLOOKUP("Bi-214",Doses!$A$1:$O$40,14)*$B71,0)</f>
        <v>10.245933870290536</v>
      </c>
      <c r="L71" s="127">
        <f>IFERROR(VLOOKUP("Bi-214",$A$4:$Q$32,7)*VLOOKUP("Bi-214",Doses!$A$1:$O$40,15)*$B71,0)</f>
        <v>13.890736250162513</v>
      </c>
      <c r="M71" s="115">
        <f t="shared" si="22"/>
        <v>0.77968201090407896</v>
      </c>
      <c r="N71" s="127">
        <f t="shared" si="22"/>
        <v>9.7161995163920545E-2</v>
      </c>
      <c r="O71" s="127">
        <f t="shared" si="22"/>
        <v>0.12625232211937623</v>
      </c>
      <c r="P71" s="127">
        <f t="shared" si="22"/>
        <v>0.37909955320075023</v>
      </c>
      <c r="Q71" s="117">
        <f t="shared" si="22"/>
        <v>0.5139572412560135</v>
      </c>
    </row>
    <row r="72" spans="1:17" ht="15">
      <c r="A72" s="113" t="s">
        <v>197</v>
      </c>
      <c r="B72" s="114">
        <v>0.99979000004200003</v>
      </c>
      <c r="C72" s="132"/>
      <c r="D72" s="132"/>
      <c r="E72" s="132"/>
      <c r="F72" s="132"/>
      <c r="G72" s="132"/>
      <c r="H72" s="115">
        <f>IFERROR(VLOOKUP("Po-214",$A$4:$Q$32,3)*VLOOKUP("Po-214",Doses!$A$1:$O$40,9)*$B72,0)</f>
        <v>9.3176929781811485E-8</v>
      </c>
      <c r="I72" s="127">
        <f>IFERROR(VLOOKUP("Po-214",$A$4:$Q$32,4)*VLOOKUP("Po-214",Doses!$A$1:$O$40,12)*$B72,0)</f>
        <v>1.10846598935043E-8</v>
      </c>
      <c r="J72" s="127">
        <f>IFERROR(VLOOKUP("Po-214",$A$4:$Q$32,5)*VLOOKUP("Po-214",Doses!$A$1:$O$40,13)*$B72,0)</f>
        <v>1.5638514784426971E-8</v>
      </c>
      <c r="K72" s="127">
        <f>IFERROR(VLOOKUP("Po-214",$A$4:$Q$32,6)*VLOOKUP("Po-214",Doses!$A$1:$O$40,14)*$B72,0)</f>
        <v>4.5873063250231903E-8</v>
      </c>
      <c r="L72" s="127">
        <f>IFERROR(VLOOKUP("Po-214",$A$4:$Q$32,7)*VLOOKUP("Po-214",Doses!$A$1:$O$40,15)*$B72,0)</f>
        <v>6.2865997395721753E-8</v>
      </c>
      <c r="M72" s="115">
        <f t="shared" si="22"/>
        <v>3.4475464019270283E-9</v>
      </c>
      <c r="N72" s="127">
        <f t="shared" si="22"/>
        <v>4.1013241605965953E-10</v>
      </c>
      <c r="O72" s="127">
        <f t="shared" si="22"/>
        <v>5.7862504702379854E-10</v>
      </c>
      <c r="P72" s="127">
        <f t="shared" si="22"/>
        <v>1.6973033402585822E-9</v>
      </c>
      <c r="Q72" s="117">
        <f t="shared" si="22"/>
        <v>2.3260419036417071E-9</v>
      </c>
    </row>
    <row r="73" spans="1:17" ht="15">
      <c r="A73" s="113" t="s">
        <v>198</v>
      </c>
      <c r="B73" s="114">
        <v>2.0999995799999999E-4</v>
      </c>
      <c r="C73" s="132"/>
      <c r="D73" s="132"/>
      <c r="E73" s="132"/>
      <c r="F73" s="132"/>
      <c r="G73" s="132"/>
      <c r="H73" s="115">
        <f>IFERROR(VLOOKUP("Tl-210",$A$4:$Q$32,3)*VLOOKUP("Tl-210",Doses!$A$1:$O$40,9)*$B73,0)</f>
        <v>1.9547168308115318E-2</v>
      </c>
      <c r="I73" s="127">
        <f>IFERROR(VLOOKUP("Tl-210",$A$4:$Q$32,4)*VLOOKUP("Tl-210",Doses!$A$1:$O$40,12)*$B73,0)</f>
        <v>2.9614667099466122E-3</v>
      </c>
      <c r="J73" s="127">
        <f>IFERROR(VLOOKUP("Tl-210",$A$4:$Q$32,5)*VLOOKUP("Tl-210",Doses!$A$1:$O$40,13)*$B73,0)</f>
        <v>3.5015886958425862E-3</v>
      </c>
      <c r="K73" s="127">
        <f>IFERROR(VLOOKUP("Tl-210",$A$4:$Q$32,6)*VLOOKUP("Tl-210",Doses!$A$1:$O$40,14)*$B73,0)</f>
        <v>1.0231341010295629E-2</v>
      </c>
      <c r="L73" s="127">
        <f>IFERROR(VLOOKUP("Tl-210",$A$4:$Q$32,7)*VLOOKUP("Tl-210",Doses!$A$1:$O$40,15)*$B73,0)</f>
        <v>1.4060725827999485E-2</v>
      </c>
      <c r="M73" s="115">
        <f t="shared" si="22"/>
        <v>7.2324522740026753E-4</v>
      </c>
      <c r="N73" s="127">
        <f t="shared" si="22"/>
        <v>1.0957426826802476E-4</v>
      </c>
      <c r="O73" s="127">
        <f t="shared" si="22"/>
        <v>1.2955878174617582E-4</v>
      </c>
      <c r="P73" s="127">
        <f t="shared" si="22"/>
        <v>3.7855961738093863E-4</v>
      </c>
      <c r="Q73" s="117">
        <f t="shared" si="22"/>
        <v>5.2024685563598148E-4</v>
      </c>
    </row>
    <row r="74" spans="1:17" ht="15">
      <c r="A74" s="113" t="s">
        <v>199</v>
      </c>
      <c r="B74" s="114">
        <v>1</v>
      </c>
      <c r="C74" s="132"/>
      <c r="D74" s="132"/>
      <c r="E74" s="132"/>
      <c r="F74" s="132"/>
      <c r="G74" s="132"/>
      <c r="H74" s="115">
        <f>IFERROR(VLOOKUP("Pb-210",$A$4:$Q$32,3)*VLOOKUP("Pb-210",Doses!$A$1:$O$40,9)*$B74,0)</f>
        <v>4.8993265510209887E-4</v>
      </c>
      <c r="I74" s="127">
        <f>IFERROR(VLOOKUP("Pb-210",$A$4:$Q$32,4)*VLOOKUP("Pb-210",Doses!$A$1:$O$40,12)*$B74,0)</f>
        <v>2.6957003262371203E-3</v>
      </c>
      <c r="J74" s="127">
        <f>IFERROR(VLOOKUP("Pb-210",$A$4:$Q$32,5)*VLOOKUP("Pb-210",Doses!$A$1:$O$40,13)*$B74,0)</f>
        <v>6.9057684050274329E-4</v>
      </c>
      <c r="K74" s="127">
        <f>IFERROR(VLOOKUP("Pb-210",$A$4:$Q$32,6)*VLOOKUP("Pb-210",Doses!$A$1:$O$40,14)*$B74,0)</f>
        <v>1.055215463487798E-3</v>
      </c>
      <c r="L74" s="127">
        <f>IFERROR(VLOOKUP("Pb-210",$A$4:$Q$32,7)*VLOOKUP("Pb-210",Doses!$A$1:$O$40,15)*$B74,0)</f>
        <v>1.0096437977307564E-3</v>
      </c>
      <c r="M74" s="115">
        <f t="shared" si="22"/>
        <v>1.8127508238777677E-5</v>
      </c>
      <c r="N74" s="127">
        <f t="shared" si="22"/>
        <v>9.9740912070773552E-5</v>
      </c>
      <c r="O74" s="127">
        <f t="shared" si="22"/>
        <v>2.5551343098601528E-5</v>
      </c>
      <c r="P74" s="127">
        <f t="shared" si="22"/>
        <v>3.9042972149048568E-5</v>
      </c>
      <c r="Q74" s="117">
        <f t="shared" si="22"/>
        <v>3.7356820516038027E-5</v>
      </c>
    </row>
    <row r="75" spans="1:17" ht="15">
      <c r="A75" s="113" t="s">
        <v>200</v>
      </c>
      <c r="B75" s="114">
        <v>1</v>
      </c>
      <c r="C75" s="132"/>
      <c r="D75" s="132"/>
      <c r="E75" s="132"/>
      <c r="F75" s="132"/>
      <c r="G75" s="132"/>
      <c r="H75" s="115">
        <f>IFERROR(VLOOKUP("Bi-210",$A$4:$Q$32,3)*VLOOKUP("Bi-210",Doses!$A$1:$O$40,9)*$B75,0)</f>
        <v>1.0731711487979084E-8</v>
      </c>
      <c r="I75" s="127">
        <f>IFERROR(VLOOKUP("Bi-210",$A$4:$Q$32,4)*VLOOKUP("Bi-210",Doses!$A$1:$O$40,12)*$B75,0)</f>
        <v>8.1660972287616294E-8</v>
      </c>
      <c r="J75" s="127">
        <f>IFERROR(VLOOKUP("Bi-210",$A$4:$Q$32,5)*VLOOKUP("Bi-210",Doses!$A$1:$O$40,13)*$B75,0)</f>
        <v>7.2671996576855971E-9</v>
      </c>
      <c r="K75" s="127">
        <f>IFERROR(VLOOKUP("Bi-210",$A$4:$Q$32,6)*VLOOKUP("Bi-210",Doses!$A$1:$O$40,14)*$B75,0)</f>
        <v>1.0516623208962207E-8</v>
      </c>
      <c r="L75" s="127">
        <f>IFERROR(VLOOKUP("Bi-210",$A$4:$Q$32,7)*VLOOKUP("Bi-210",Doses!$A$1:$O$40,15)*$B75,0)</f>
        <v>1.052413396184737E-8</v>
      </c>
      <c r="M75" s="115">
        <f t="shared" si="22"/>
        <v>3.9707332505522654E-10</v>
      </c>
      <c r="N75" s="127">
        <f t="shared" si="22"/>
        <v>3.021455974641806E-9</v>
      </c>
      <c r="O75" s="127">
        <f t="shared" si="22"/>
        <v>2.6888638733436734E-10</v>
      </c>
      <c r="P75" s="127">
        <f t="shared" si="22"/>
        <v>3.8911505873160204E-10</v>
      </c>
      <c r="Q75" s="117">
        <f t="shared" si="22"/>
        <v>3.8939295658835306E-10</v>
      </c>
    </row>
    <row r="76" spans="1:17" ht="15">
      <c r="A76" s="113" t="s">
        <v>202</v>
      </c>
      <c r="B76" s="114">
        <v>1</v>
      </c>
      <c r="C76" s="132"/>
      <c r="D76" s="132"/>
      <c r="E76" s="132"/>
      <c r="F76" s="132"/>
      <c r="G76" s="132"/>
      <c r="H76" s="115">
        <f>IFERROR(VLOOKUP("Po-210",$A$4:$Q$32,3)*VLOOKUP("Po-210",Doses!$A$1:$O$40,9)*$B76,0)</f>
        <v>1.2732911012436964E-9</v>
      </c>
      <c r="I76" s="127">
        <f>IFERROR(VLOOKUP("Po-210",$A$4:$Q$32,4)*VLOOKUP("Po-210",Doses!$A$1:$O$40,12)*$B76,0)</f>
        <v>1.5096197041580229E-10</v>
      </c>
      <c r="J76" s="127">
        <f>IFERROR(VLOOKUP("Po-210",$A$4:$Q$32,5)*VLOOKUP("Po-210",Doses!$A$1:$O$40,13)*$B76,0)</f>
        <v>2.1304459145654457E-10</v>
      </c>
      <c r="K76" s="127">
        <f>IFERROR(VLOOKUP("Po-210",$A$4:$Q$32,6)*VLOOKUP("Po-210",Doses!$A$1:$O$40,14)*$B76,0)</f>
        <v>6.256549639220176E-10</v>
      </c>
      <c r="L76" s="127">
        <f>IFERROR(VLOOKUP("Po-210",$A$4:$Q$32,7)*VLOOKUP("Po-210",Doses!$A$1:$O$40,15)*$B76,0)</f>
        <v>8.5309264435445232E-10</v>
      </c>
      <c r="M76" s="115">
        <f t="shared" si="22"/>
        <v>4.7111770746016817E-11</v>
      </c>
      <c r="N76" s="127">
        <f t="shared" si="22"/>
        <v>5.5855929053846904E-12</v>
      </c>
      <c r="O76" s="127">
        <f t="shared" si="22"/>
        <v>7.8826498838921577E-12</v>
      </c>
      <c r="P76" s="127">
        <f t="shared" si="22"/>
        <v>2.3149233665114675E-11</v>
      </c>
      <c r="Q76" s="117">
        <f t="shared" si="22"/>
        <v>3.1564427841114769E-11</v>
      </c>
    </row>
    <row r="77" spans="1:17" ht="15">
      <c r="A77" s="113" t="s">
        <v>201</v>
      </c>
      <c r="B77" s="114">
        <v>1.9000000000000001E-8</v>
      </c>
      <c r="C77" s="132"/>
      <c r="D77" s="132"/>
      <c r="E77" s="132"/>
      <c r="F77" s="132"/>
      <c r="G77" s="132"/>
      <c r="H77" s="115">
        <f>IFERROR(VLOOKUP("Hg-206",$A$4:$Q$32,3)*VLOOKUP("Hg-206",Doses!$A$1:$O$40,9)*$B77,0)</f>
        <v>7.8821320391684824E-9</v>
      </c>
      <c r="I77" s="127">
        <f>IFERROR(VLOOKUP("Hg-206",$A$4:$Q$32,4)*VLOOKUP("Hg-206",Doses!$A$1:$O$40,12)*$B77,0)</f>
        <v>2.4148347701982483E-9</v>
      </c>
      <c r="J77" s="127">
        <f>IFERROR(VLOOKUP("Hg-206",$A$4:$Q$32,5)*VLOOKUP("Hg-206",Doses!$A$1:$O$40,13)*$B77,0)</f>
        <v>2.1855588813540219E-9</v>
      </c>
      <c r="K77" s="127">
        <f>IFERROR(VLOOKUP("Hg-206",$A$4:$Q$32,6)*VLOOKUP("Hg-206",Doses!$A$1:$O$40,14)*$B77,0)</f>
        <v>6.0333310703955953E-9</v>
      </c>
      <c r="L77" s="127">
        <f>IFERROR(VLOOKUP("Hg-206",$A$4:$Q$32,7)*VLOOKUP("Hg-206",Doses!$A$1:$O$40,15)*$B77,0)</f>
        <v>7.5542552827557505E-9</v>
      </c>
      <c r="M77" s="115">
        <f t="shared" si="22"/>
        <v>2.9163888544923412E-10</v>
      </c>
      <c r="N77" s="127">
        <f t="shared" si="22"/>
        <v>8.9348886497335271E-11</v>
      </c>
      <c r="O77" s="127">
        <f t="shared" si="22"/>
        <v>8.0865678610098887E-11</v>
      </c>
      <c r="P77" s="127">
        <f t="shared" si="22"/>
        <v>2.2323324960463725E-10</v>
      </c>
      <c r="Q77" s="117">
        <f t="shared" si="22"/>
        <v>2.7950744546196304E-10</v>
      </c>
    </row>
    <row r="78" spans="1:17" ht="15.75" thickBot="1">
      <c r="A78" s="113" t="s">
        <v>203</v>
      </c>
      <c r="B78" s="114">
        <v>1.339E-6</v>
      </c>
      <c r="C78" s="132"/>
      <c r="D78" s="132"/>
      <c r="E78" s="132"/>
      <c r="F78" s="132"/>
      <c r="G78" s="132"/>
      <c r="H78" s="122">
        <f>IFERROR(VLOOKUP("Tl-206",$A$4:$Q$32,3)*VLOOKUP("Tl-206",Doses!$A$1:$O$40,9)*$B78,0)</f>
        <v>1.8080284481476237E-11</v>
      </c>
      <c r="I78" s="123">
        <f>IFERROR(VLOOKUP("Tl-206",$A$4:$Q$32,4)*VLOOKUP("Tl-206",Doses!$A$1:$O$40,12)*$B78,0)</f>
        <v>2.2806121447346394E-10</v>
      </c>
      <c r="J78" s="123">
        <f>IFERROR(VLOOKUP("Tl-206",$A$4:$Q$32,5)*VLOOKUP("Tl-206",Doses!$A$1:$O$40,13)*$B78,0)</f>
        <v>1.9556167223333197E-11</v>
      </c>
      <c r="K78" s="123">
        <f>IFERROR(VLOOKUP("Tl-206",$A$4:$Q$32,6)*VLOOKUP("Tl-206",Doses!$A$1:$O$40,14)*$B78,0)</f>
        <v>2.1603198237947408E-11</v>
      </c>
      <c r="L78" s="123">
        <f>IFERROR(VLOOKUP("Tl-206",$A$4:$Q$32,7)*VLOOKUP("Tl-206",Doses!$A$1:$O$40,15)*$B78,0)</f>
        <v>2.667177430378366E-11</v>
      </c>
      <c r="M78" s="122">
        <f t="shared" si="22"/>
        <v>6.6897052581462147E-13</v>
      </c>
      <c r="N78" s="123">
        <f t="shared" si="22"/>
        <v>8.4382649355181747E-12</v>
      </c>
      <c r="O78" s="123">
        <f t="shared" si="22"/>
        <v>7.23578187263329E-13</v>
      </c>
      <c r="P78" s="123">
        <f t="shared" si="22"/>
        <v>7.9931833480405493E-13</v>
      </c>
      <c r="Q78" s="124">
        <f t="shared" si="22"/>
        <v>9.8685564923999632E-13</v>
      </c>
    </row>
  </sheetData>
  <sheetProtection algorithmName="SHA-512" hashValue="+spDZuu8NIgjl8Ialv61CzziXXqJyfmJdOkrhOOceixIJYQ8qyuv0vVSLdkE2Uh+KigJ7Rn4Po7Xlzbv0rTWGQ==" saltValue="P8CuBAENuvreH1uxU5KJJA==" spinCount="100000" sheet="1" formatCells="0" formatColumns="0" formatRows="0" insertColumns="0" insertRows="0" autoFilter="0"/>
  <autoFilter ref="A2:Q78" xr:uid="{00000000-0009-0000-0000-000016000000}"/>
  <mergeCells count="3">
    <mergeCell ref="H1:L1"/>
    <mergeCell ref="M1:Q1"/>
    <mergeCell ref="C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1"/>
  <sheetViews>
    <sheetView workbookViewId="0">
      <pane xSplit="4" ySplit="2" topLeftCell="E3" activePane="bottomRight" state="frozen"/>
      <selection pane="topRight" activeCell="G1" sqref="G1"/>
      <selection pane="bottomLeft" activeCell="A2" sqref="A2"/>
      <selection pane="bottomRight" activeCell="E3" sqref="E3"/>
    </sheetView>
  </sheetViews>
  <sheetFormatPr defaultRowHeight="12.75"/>
  <cols>
    <col min="1" max="1" width="12.5703125" style="80" bestFit="1" customWidth="1"/>
    <col min="2" max="2" width="8" style="80" bestFit="1" customWidth="1"/>
    <col min="3" max="3" width="13.28515625" style="81" bestFit="1" customWidth="1"/>
    <col min="4" max="5" width="11.140625" style="81" bestFit="1" customWidth="1"/>
    <col min="6" max="6" width="8.7109375" style="80" bestFit="1" customWidth="1"/>
    <col min="7" max="7" width="14.42578125" style="81" bestFit="1" customWidth="1"/>
    <col min="8" max="8" width="14.28515625" style="81" bestFit="1" customWidth="1"/>
    <col min="9" max="10" width="15.42578125" style="81" bestFit="1" customWidth="1"/>
    <col min="11" max="11" width="16.42578125" style="81" bestFit="1" customWidth="1"/>
    <col min="12" max="12" width="14.42578125" style="81" bestFit="1" customWidth="1"/>
    <col min="13" max="13" width="14.28515625" style="81" bestFit="1" customWidth="1"/>
    <col min="14" max="14" width="15.42578125" style="81" bestFit="1" customWidth="1"/>
    <col min="15" max="15" width="16.42578125" style="81" customWidth="1"/>
    <col min="16" max="16" width="15.42578125" style="81" bestFit="1" customWidth="1"/>
    <col min="17" max="17" width="9.7109375" style="80" bestFit="1" customWidth="1"/>
    <col min="18" max="18" width="12.7109375" style="80" bestFit="1" customWidth="1"/>
    <col min="19" max="16384" width="9.140625" style="80"/>
  </cols>
  <sheetData>
    <row r="1" spans="1:18">
      <c r="A1" s="136" t="s">
        <v>204</v>
      </c>
      <c r="B1" s="136"/>
      <c r="C1" s="136"/>
      <c r="D1" s="136"/>
      <c r="E1" s="136"/>
      <c r="I1" s="80"/>
      <c r="J1" s="80"/>
      <c r="K1" s="80"/>
      <c r="L1" s="80"/>
      <c r="M1" s="80"/>
      <c r="N1" s="80"/>
      <c r="O1" s="80"/>
      <c r="P1" s="80"/>
    </row>
    <row r="2" spans="1:18">
      <c r="A2" s="82" t="s">
        <v>0</v>
      </c>
      <c r="B2" s="82" t="s">
        <v>43</v>
      </c>
      <c r="C2" s="83" t="s">
        <v>79</v>
      </c>
      <c r="D2" s="83" t="s">
        <v>80</v>
      </c>
      <c r="E2" s="83" t="s">
        <v>80</v>
      </c>
      <c r="F2" s="82" t="s">
        <v>81</v>
      </c>
      <c r="G2" s="83" t="s">
        <v>125</v>
      </c>
      <c r="H2" s="83" t="s">
        <v>126</v>
      </c>
      <c r="I2" s="83" t="s">
        <v>127</v>
      </c>
      <c r="J2" s="83" t="s">
        <v>128</v>
      </c>
      <c r="K2" s="83" t="s">
        <v>129</v>
      </c>
      <c r="L2" s="83" t="s">
        <v>167</v>
      </c>
      <c r="M2" s="83" t="s">
        <v>168</v>
      </c>
      <c r="N2" s="83" t="s">
        <v>169</v>
      </c>
      <c r="O2" s="83" t="s">
        <v>170</v>
      </c>
      <c r="P2" s="83" t="s">
        <v>171</v>
      </c>
      <c r="Q2" s="6" t="s">
        <v>256</v>
      </c>
      <c r="R2" s="40" t="s">
        <v>257</v>
      </c>
    </row>
    <row r="3" spans="1:18">
      <c r="A3" s="87" t="s">
        <v>23</v>
      </c>
      <c r="B3" s="12" t="s">
        <v>59</v>
      </c>
      <c r="C3" s="81">
        <v>2.7397260273973E-2</v>
      </c>
      <c r="D3" s="84">
        <f t="shared" ref="D3" si="0">0.693/C3</f>
        <v>25.29449999999963</v>
      </c>
      <c r="E3" s="81">
        <v>25.294499999999999</v>
      </c>
      <c r="F3" s="80">
        <v>225</v>
      </c>
      <c r="G3" s="85">
        <v>1.00727426068</v>
      </c>
      <c r="H3" s="85">
        <v>1.83144858836</v>
      </c>
      <c r="I3" s="85">
        <v>6.6615997756500001</v>
      </c>
      <c r="J3" s="85">
        <v>6.9425441453700003</v>
      </c>
      <c r="K3" s="85">
        <v>0.69438699857800001</v>
      </c>
      <c r="L3" s="80">
        <v>0.75528654007399998</v>
      </c>
      <c r="M3" s="80">
        <v>0.23962603377200001</v>
      </c>
      <c r="N3" s="80">
        <v>0.454394609093</v>
      </c>
      <c r="O3" s="80">
        <v>0.476007952091</v>
      </c>
      <c r="P3" s="80">
        <v>0.402038736954</v>
      </c>
      <c r="Q3">
        <v>1</v>
      </c>
      <c r="R3" s="86">
        <v>0.55500000000000005</v>
      </c>
    </row>
    <row r="4" spans="1:18">
      <c r="A4" s="88" t="s">
        <v>14</v>
      </c>
      <c r="B4" s="12" t="s">
        <v>44</v>
      </c>
      <c r="C4" s="81">
        <v>432.2</v>
      </c>
      <c r="D4" s="84">
        <f t="shared" ref="D4" si="1">0.693/C4</f>
        <v>1.6034243405830633E-3</v>
      </c>
      <c r="E4" s="81">
        <v>1.6034243405830999E-3</v>
      </c>
      <c r="F4" s="80">
        <v>241</v>
      </c>
      <c r="G4" s="85">
        <v>2.4574094778271798</v>
      </c>
      <c r="H4" s="85">
        <v>1.2063525080001301</v>
      </c>
      <c r="I4" s="85">
        <v>3.7667092826225899</v>
      </c>
      <c r="J4" s="85">
        <v>7.2013897618151796</v>
      </c>
      <c r="K4" s="85">
        <v>1.23833421492427</v>
      </c>
      <c r="L4" s="85">
        <v>1.06335753267336</v>
      </c>
      <c r="M4" s="85">
        <v>0.46840267409000003</v>
      </c>
      <c r="N4" s="85">
        <v>1.09523020246886</v>
      </c>
      <c r="O4" s="85">
        <v>0.98684875753801105</v>
      </c>
      <c r="P4" s="85">
        <v>0.63304049222924197</v>
      </c>
      <c r="Q4">
        <v>1</v>
      </c>
      <c r="R4" s="86">
        <v>0.50600000000000001</v>
      </c>
    </row>
    <row r="5" spans="1:18">
      <c r="A5" s="87" t="s">
        <v>15</v>
      </c>
      <c r="B5" s="12" t="s">
        <v>59</v>
      </c>
      <c r="C5" s="81">
        <v>1.0242262810756E-9</v>
      </c>
      <c r="D5" s="84">
        <f t="shared" ref="D5:D8" si="2">0.693/C5</f>
        <v>676608297.21361971</v>
      </c>
      <c r="E5" s="81">
        <v>676608297.21361995</v>
      </c>
      <c r="F5" s="80">
        <v>217</v>
      </c>
      <c r="G5" s="85">
        <v>2.5723759651299998E-3</v>
      </c>
      <c r="H5" s="85">
        <v>2.5540650288599998E-3</v>
      </c>
      <c r="I5" s="85">
        <v>7.94253924396E-3</v>
      </c>
      <c r="J5" s="85">
        <v>8.6732974951299995E-3</v>
      </c>
      <c r="K5" s="85">
        <v>3.9587204611700004E-3</v>
      </c>
      <c r="L5" s="80">
        <v>1.4835899677900001E-3</v>
      </c>
      <c r="M5" s="80">
        <v>1.2686982685E-3</v>
      </c>
      <c r="N5" s="80">
        <v>1.56840000952E-3</v>
      </c>
      <c r="O5" s="80">
        <v>1.49621946652E-3</v>
      </c>
      <c r="P5" s="80">
        <v>1.3406134541000001E-3</v>
      </c>
      <c r="Q5">
        <v>1</v>
      </c>
      <c r="R5" s="86">
        <v>0.27600000000000002</v>
      </c>
    </row>
    <row r="6" spans="1:18">
      <c r="A6" s="87" t="s">
        <v>16</v>
      </c>
      <c r="B6" s="89" t="s">
        <v>59</v>
      </c>
      <c r="C6" s="81">
        <v>4.7564687975646998E-8</v>
      </c>
      <c r="D6" s="84">
        <f t="shared" si="2"/>
        <v>14569631.999999963</v>
      </c>
      <c r="E6" s="81">
        <v>14569632</v>
      </c>
      <c r="F6" s="80">
        <v>218</v>
      </c>
      <c r="G6" s="85">
        <v>0</v>
      </c>
      <c r="H6" s="85">
        <v>0</v>
      </c>
      <c r="I6" s="85">
        <v>0</v>
      </c>
      <c r="J6" s="85">
        <v>0</v>
      </c>
      <c r="K6" s="85">
        <v>0</v>
      </c>
      <c r="L6" s="80">
        <v>0</v>
      </c>
      <c r="M6" s="80">
        <v>0</v>
      </c>
      <c r="N6" s="80">
        <v>0</v>
      </c>
      <c r="O6" s="80">
        <v>0</v>
      </c>
      <c r="P6" s="80">
        <v>0</v>
      </c>
      <c r="Q6">
        <v>0.9</v>
      </c>
      <c r="R6" s="86">
        <v>0.9</v>
      </c>
    </row>
    <row r="7" spans="1:18">
      <c r="A7" s="87" t="s">
        <v>18</v>
      </c>
      <c r="B7" s="12" t="s">
        <v>59</v>
      </c>
      <c r="C7" s="81">
        <v>4.8554033485540002E-6</v>
      </c>
      <c r="D7" s="84">
        <f t="shared" si="2"/>
        <v>142727.58620689751</v>
      </c>
      <c r="E7" s="81">
        <v>142727.58620690001</v>
      </c>
      <c r="F7" s="80">
        <v>137</v>
      </c>
      <c r="G7" s="85">
        <v>1.56826889579</v>
      </c>
      <c r="H7" s="85">
        <v>2.83494873248</v>
      </c>
      <c r="I7" s="85">
        <v>4.58061982101</v>
      </c>
      <c r="J7" s="85">
        <v>7.6203998637800003</v>
      </c>
      <c r="K7" s="85">
        <v>5.8552947400599997</v>
      </c>
      <c r="L7" s="80">
        <v>0.92207225901900003</v>
      </c>
      <c r="M7" s="80">
        <v>1.2589442387000001</v>
      </c>
      <c r="N7" s="80">
        <v>1.2099353022399999</v>
      </c>
      <c r="O7" s="80">
        <v>1.30458189885</v>
      </c>
      <c r="P7" s="80">
        <v>1.0388026769300001</v>
      </c>
      <c r="Q7">
        <v>1</v>
      </c>
      <c r="R7" s="86">
        <v>0.223</v>
      </c>
    </row>
    <row r="8" spans="1:18">
      <c r="A8" s="87" t="s">
        <v>19</v>
      </c>
      <c r="B8" s="90" t="s">
        <v>59</v>
      </c>
      <c r="C8" s="81">
        <v>1.3734246575342E-2</v>
      </c>
      <c r="D8" s="84">
        <f t="shared" si="2"/>
        <v>50.457809694795245</v>
      </c>
      <c r="E8" s="81">
        <v>50.457809694792999</v>
      </c>
      <c r="F8" s="80">
        <v>210</v>
      </c>
      <c r="G8" s="85">
        <v>2.7690609400899999E-6</v>
      </c>
      <c r="H8" s="85">
        <v>3.2283644356199999E-6</v>
      </c>
      <c r="I8" s="85">
        <v>7.1957603888100003E-6</v>
      </c>
      <c r="J8" s="85">
        <v>8.7536733310600001E-6</v>
      </c>
      <c r="K8" s="85">
        <v>4.5662178435399996E-6</v>
      </c>
      <c r="L8" s="80">
        <v>1.5849090302899999E-6</v>
      </c>
      <c r="M8" s="80">
        <v>1.5614781710599999E-6</v>
      </c>
      <c r="N8" s="80">
        <v>1.8441335097300001E-6</v>
      </c>
      <c r="O8" s="80">
        <v>1.84503491795E-6</v>
      </c>
      <c r="P8" s="80">
        <v>1.5632880927700001E-6</v>
      </c>
      <c r="Q8">
        <v>1</v>
      </c>
      <c r="R8" s="86">
        <v>0.25800000000000001</v>
      </c>
    </row>
    <row r="9" spans="1:18">
      <c r="A9" s="87" t="s">
        <v>20</v>
      </c>
      <c r="B9" s="12" t="s">
        <v>59</v>
      </c>
      <c r="C9" s="81">
        <v>8.673896499239E-5</v>
      </c>
      <c r="D9" s="84">
        <f t="shared" ref="D9:D10" si="3">0.693/C9</f>
        <v>7989.4889230093986</v>
      </c>
      <c r="E9" s="81">
        <v>7989.4889230094004</v>
      </c>
      <c r="F9" s="80">
        <v>213</v>
      </c>
      <c r="G9" s="85">
        <v>0.61526930737700003</v>
      </c>
      <c r="H9" s="85">
        <v>0.77372472657199998</v>
      </c>
      <c r="I9" s="85">
        <v>1.6824412151999999</v>
      </c>
      <c r="J9" s="85">
        <v>1.8529521584999999</v>
      </c>
      <c r="K9" s="85">
        <v>1.4909389588299999</v>
      </c>
      <c r="L9" s="80">
        <v>0.36095742847399997</v>
      </c>
      <c r="M9" s="80">
        <v>0.41419297048699999</v>
      </c>
      <c r="N9" s="80">
        <v>0.42534956186599998</v>
      </c>
      <c r="O9" s="80">
        <v>0.46017363809299999</v>
      </c>
      <c r="P9" s="80">
        <v>0.40050150477699997</v>
      </c>
      <c r="Q9">
        <v>1</v>
      </c>
      <c r="R9" s="86">
        <v>0.23499999999999999</v>
      </c>
    </row>
    <row r="10" spans="1:18">
      <c r="A10" s="87" t="s">
        <v>21</v>
      </c>
      <c r="B10" s="90" t="s">
        <v>59</v>
      </c>
      <c r="C10" s="81">
        <v>3.7861491628614997E-5</v>
      </c>
      <c r="D10" s="84">
        <f t="shared" si="3"/>
        <v>18303.557788944683</v>
      </c>
      <c r="E10" s="81">
        <v>18303.557788945</v>
      </c>
      <c r="F10" s="80">
        <v>214</v>
      </c>
      <c r="G10" s="85">
        <v>2.1547105369800001</v>
      </c>
      <c r="H10" s="85">
        <v>3.3963158442800001</v>
      </c>
      <c r="I10" s="85">
        <v>5.9813174478100004</v>
      </c>
      <c r="J10" s="85">
        <v>8.6980989149500001</v>
      </c>
      <c r="K10" s="85">
        <v>7.1388632172499999</v>
      </c>
      <c r="L10" s="80">
        <v>1.2598050719</v>
      </c>
      <c r="M10" s="80">
        <v>1.8371370971400001</v>
      </c>
      <c r="N10" s="80">
        <v>1.66822951899</v>
      </c>
      <c r="O10" s="80">
        <v>1.73334752107</v>
      </c>
      <c r="P10" s="80">
        <v>1.4514421742300001</v>
      </c>
      <c r="Q10">
        <v>1</v>
      </c>
      <c r="R10" s="86">
        <v>0.21199999999999999</v>
      </c>
    </row>
    <row r="11" spans="1:18">
      <c r="A11" s="88" t="s">
        <v>17</v>
      </c>
      <c r="B11" s="12" t="s">
        <v>44</v>
      </c>
      <c r="C11" s="81">
        <v>30.167100000000001</v>
      </c>
      <c r="D11" s="84">
        <f t="shared" ref="D11" si="4">0.693/C11</f>
        <v>2.2972045705420805E-2</v>
      </c>
      <c r="E11" s="81">
        <v>2.2972045705420999E-2</v>
      </c>
      <c r="F11" s="80">
        <v>137</v>
      </c>
      <c r="G11" s="85">
        <v>1.95274306342755</v>
      </c>
      <c r="H11" s="85">
        <v>1.9232464732591199</v>
      </c>
      <c r="I11" s="85">
        <v>2.3762966594252601</v>
      </c>
      <c r="J11" s="85">
        <v>2.4433099830276399</v>
      </c>
      <c r="K11" s="85">
        <v>2.6883371177093802</v>
      </c>
      <c r="L11" s="85">
        <v>1.12520974300343</v>
      </c>
      <c r="M11" s="85">
        <v>7.8365423564999995E-6</v>
      </c>
      <c r="N11" s="85">
        <v>1.41941808113624</v>
      </c>
      <c r="O11" s="85">
        <v>1.3559522294036701</v>
      </c>
      <c r="P11" s="85">
        <v>1.84645988640769</v>
      </c>
      <c r="Q11">
        <v>1</v>
      </c>
      <c r="R11" s="86">
        <v>0.23599999999999999</v>
      </c>
    </row>
    <row r="12" spans="1:18">
      <c r="A12" s="87" t="s">
        <v>24</v>
      </c>
      <c r="B12" s="12" t="s">
        <v>59</v>
      </c>
      <c r="C12" s="81">
        <v>9.3226788432268008E-6</v>
      </c>
      <c r="D12" s="84">
        <f t="shared" ref="D12" si="5">0.693/C12</f>
        <v>74334.857142857043</v>
      </c>
      <c r="E12" s="81">
        <v>74334.857142856999</v>
      </c>
      <c r="F12" s="80">
        <v>221</v>
      </c>
      <c r="G12" s="85">
        <v>0.398921044319</v>
      </c>
      <c r="H12" s="85">
        <v>0.36748550468000002</v>
      </c>
      <c r="I12" s="85">
        <v>1.11843095474</v>
      </c>
      <c r="J12" s="85">
        <v>1.4156151784</v>
      </c>
      <c r="K12" s="85">
        <v>0.496114823687</v>
      </c>
      <c r="L12" s="80">
        <v>0.235050493203</v>
      </c>
      <c r="M12" s="80">
        <v>0.18010374406099999</v>
      </c>
      <c r="N12" s="80">
        <v>0.25662294907200001</v>
      </c>
      <c r="O12" s="80">
        <v>0.238775235039</v>
      </c>
      <c r="P12" s="80">
        <v>0.195892015399</v>
      </c>
      <c r="Q12">
        <v>1</v>
      </c>
      <c r="R12" s="86">
        <v>0.29199999999999998</v>
      </c>
    </row>
    <row r="13" spans="1:18">
      <c r="A13" s="80" t="s">
        <v>22</v>
      </c>
      <c r="B13" s="89" t="s">
        <v>59</v>
      </c>
      <c r="C13" s="81">
        <v>1.5506088280060999E-5</v>
      </c>
      <c r="D13" s="84">
        <f t="shared" ref="D13" si="6">0.693/C13</f>
        <v>44692.122699386164</v>
      </c>
      <c r="E13" s="81">
        <v>44692.122699385996</v>
      </c>
      <c r="F13" s="80">
        <v>206</v>
      </c>
      <c r="G13" s="85">
        <v>1.01635309074</v>
      </c>
      <c r="H13" s="85">
        <v>1.1232545947499999</v>
      </c>
      <c r="I13" s="85">
        <v>2.5584718051699999</v>
      </c>
      <c r="J13" s="85">
        <v>3.1279873558400002</v>
      </c>
      <c r="K13" s="85">
        <v>1.64507134906</v>
      </c>
      <c r="L13" s="80">
        <v>0.58109141725000002</v>
      </c>
      <c r="M13" s="80">
        <v>0.53920115053499995</v>
      </c>
      <c r="N13" s="80">
        <v>0.66090578638499997</v>
      </c>
      <c r="O13" s="80">
        <v>0.65398495879399998</v>
      </c>
      <c r="P13" s="80">
        <v>0.55212095389799998</v>
      </c>
      <c r="Q13">
        <v>1</v>
      </c>
      <c r="R13" s="86">
        <v>0.25600000000000001</v>
      </c>
    </row>
    <row r="14" spans="1:18">
      <c r="A14" s="80" t="s">
        <v>28</v>
      </c>
      <c r="B14" s="12" t="s">
        <v>59</v>
      </c>
      <c r="C14" s="81">
        <v>2144000</v>
      </c>
      <c r="D14" s="84">
        <f t="shared" ref="D14:D15" si="7">0.693/C14</f>
        <v>3.2322761194029851E-7</v>
      </c>
      <c r="E14" s="81">
        <v>3.2322761194029999E-7</v>
      </c>
      <c r="F14" s="80">
        <v>237</v>
      </c>
      <c r="G14" s="85">
        <v>2.7317452365400001</v>
      </c>
      <c r="H14" s="85">
        <v>5.6423941093899996</v>
      </c>
      <c r="I14" s="85">
        <v>16.847705853699999</v>
      </c>
      <c r="J14" s="85">
        <v>20.620728702600001</v>
      </c>
      <c r="K14" s="85">
        <v>1.9559339873499999</v>
      </c>
      <c r="L14" s="80">
        <v>2.0094884518599998</v>
      </c>
      <c r="M14" s="80">
        <v>0.59680678295199996</v>
      </c>
      <c r="N14" s="80">
        <v>1.17376400445</v>
      </c>
      <c r="O14" s="80">
        <v>1.32908823346</v>
      </c>
      <c r="P14" s="80">
        <v>1.1272372878200001</v>
      </c>
      <c r="Q14">
        <v>1</v>
      </c>
      <c r="R14" s="86">
        <v>0.54100000000000004</v>
      </c>
    </row>
    <row r="15" spans="1:18">
      <c r="A15" s="80" t="s">
        <v>29</v>
      </c>
      <c r="B15" s="12" t="s">
        <v>59</v>
      </c>
      <c r="C15" s="81">
        <v>7.3882191780822004E-2</v>
      </c>
      <c r="D15" s="84">
        <f t="shared" si="7"/>
        <v>9.3797975303148178</v>
      </c>
      <c r="E15" s="81">
        <v>9.3797975303148</v>
      </c>
      <c r="F15" s="80">
        <v>233</v>
      </c>
      <c r="G15" s="85">
        <v>3.8244277845800001</v>
      </c>
      <c r="H15" s="85">
        <v>5.56030369515</v>
      </c>
      <c r="I15" s="85">
        <v>17.055113765000002</v>
      </c>
      <c r="J15" s="85">
        <v>20.782512432200001</v>
      </c>
      <c r="K15" s="85">
        <v>3.8029688232500001</v>
      </c>
      <c r="L15" s="80">
        <v>2.5669051328600001</v>
      </c>
      <c r="M15" s="80">
        <v>1.4075089669800001</v>
      </c>
      <c r="N15" s="80">
        <v>2.08710996714</v>
      </c>
      <c r="O15" s="80">
        <v>2.2559684257499999</v>
      </c>
      <c r="P15" s="80">
        <v>1.7931475780599999</v>
      </c>
      <c r="Q15">
        <v>1</v>
      </c>
      <c r="R15" s="86">
        <v>0.36199999999999999</v>
      </c>
    </row>
    <row r="16" spans="1:18">
      <c r="A16" s="80" t="s">
        <v>32</v>
      </c>
      <c r="B16" s="12" t="s">
        <v>59</v>
      </c>
      <c r="C16" s="81">
        <v>3.7134703196347002E-4</v>
      </c>
      <c r="D16" s="84">
        <f t="shared" ref="D16:D22" si="8">0.693/C16</f>
        <v>1866.1789117737487</v>
      </c>
      <c r="E16" s="81">
        <v>1866.1789117738001</v>
      </c>
      <c r="F16" s="80">
        <v>209</v>
      </c>
      <c r="G16" s="85">
        <v>0</v>
      </c>
      <c r="H16" s="85">
        <v>0</v>
      </c>
      <c r="I16" s="85">
        <v>0</v>
      </c>
      <c r="J16" s="85">
        <v>0</v>
      </c>
      <c r="K16" s="85">
        <v>0</v>
      </c>
      <c r="L16" s="80">
        <v>0</v>
      </c>
      <c r="M16" s="80">
        <v>0</v>
      </c>
      <c r="N16" s="80">
        <v>0</v>
      </c>
      <c r="O16" s="80">
        <v>0</v>
      </c>
      <c r="P16" s="80">
        <v>0</v>
      </c>
      <c r="Q16">
        <v>0.9</v>
      </c>
      <c r="R16" s="86">
        <v>0.9</v>
      </c>
    </row>
    <row r="17" spans="1:18">
      <c r="A17" s="80" t="s">
        <v>33</v>
      </c>
      <c r="B17" s="90" t="s">
        <v>59</v>
      </c>
      <c r="C17" s="81">
        <v>22.2</v>
      </c>
      <c r="D17" s="84">
        <f t="shared" si="8"/>
        <v>3.1216216216216217E-2</v>
      </c>
      <c r="E17" s="81">
        <v>3.1216216216216001E-2</v>
      </c>
      <c r="F17" s="80">
        <v>210</v>
      </c>
      <c r="G17" s="85">
        <v>1.04521424343</v>
      </c>
      <c r="H17" s="85">
        <v>2.05805229039</v>
      </c>
      <c r="I17" s="85">
        <v>8.5525266591500007</v>
      </c>
      <c r="J17" s="85">
        <v>7.7649802116300002</v>
      </c>
      <c r="K17" s="85">
        <v>0.76243674565700004</v>
      </c>
      <c r="L17" s="80">
        <v>0.84626969143300002</v>
      </c>
      <c r="M17" s="80">
        <v>0.18648886834200001</v>
      </c>
      <c r="N17" s="80">
        <v>0.41349147972</v>
      </c>
      <c r="O17" s="80">
        <v>0.40896205161100002</v>
      </c>
      <c r="P17" s="80">
        <v>0.38431267503099997</v>
      </c>
      <c r="Q17">
        <v>1</v>
      </c>
      <c r="R17" s="86">
        <v>0.69099999999999995</v>
      </c>
    </row>
    <row r="18" spans="1:18">
      <c r="A18" s="80" t="s">
        <v>34</v>
      </c>
      <c r="B18" s="90" t="s">
        <v>59</v>
      </c>
      <c r="C18" s="81">
        <v>5.0989345509892997E-5</v>
      </c>
      <c r="D18" s="84">
        <f t="shared" si="8"/>
        <v>13591.074626865793</v>
      </c>
      <c r="E18" s="81">
        <v>13591.074626866</v>
      </c>
      <c r="F18" s="80">
        <v>214</v>
      </c>
      <c r="G18" s="85">
        <v>2.35208204559</v>
      </c>
      <c r="H18" s="85">
        <v>2.3268175262800002</v>
      </c>
      <c r="I18" s="85">
        <v>6.8373191543800003</v>
      </c>
      <c r="J18" s="85">
        <v>7.58101226425</v>
      </c>
      <c r="K18" s="85">
        <v>3.5298055828399999</v>
      </c>
      <c r="L18" s="80">
        <v>1.4031413397400001</v>
      </c>
      <c r="M18" s="80">
        <v>1.17333725964</v>
      </c>
      <c r="N18" s="80">
        <v>1.45623970778</v>
      </c>
      <c r="O18" s="80">
        <v>1.4378166107499999</v>
      </c>
      <c r="P18" s="80">
        <v>1.2304291375400001</v>
      </c>
      <c r="Q18">
        <v>1</v>
      </c>
      <c r="R18" s="86">
        <v>0.27200000000000002</v>
      </c>
    </row>
    <row r="19" spans="1:18">
      <c r="A19" s="80" t="s">
        <v>36</v>
      </c>
      <c r="B19" s="90" t="s">
        <v>59</v>
      </c>
      <c r="C19" s="81">
        <v>0.37911232876711998</v>
      </c>
      <c r="D19" s="84">
        <f t="shared" si="8"/>
        <v>1.8279542695265234</v>
      </c>
      <c r="E19" s="81">
        <v>1.8279542695265001</v>
      </c>
      <c r="F19" s="80">
        <v>210</v>
      </c>
      <c r="G19" s="85">
        <v>1.9213843896399999E-5</v>
      </c>
      <c r="H19" s="85">
        <v>2.89713592173E-5</v>
      </c>
      <c r="I19" s="85">
        <v>5.6841008329599997E-5</v>
      </c>
      <c r="J19" s="85">
        <v>8.7089031437600006E-5</v>
      </c>
      <c r="K19" s="85">
        <v>5.8438111722699999E-5</v>
      </c>
      <c r="L19" s="80">
        <v>1.1154074594500001E-5</v>
      </c>
      <c r="M19" s="80">
        <v>1.7974437574199999E-5</v>
      </c>
      <c r="N19" s="80">
        <v>1.54991344761E-5</v>
      </c>
      <c r="O19" s="80">
        <v>1.5876697199000001E-5</v>
      </c>
      <c r="P19" s="80">
        <v>1.3776116905399999E-5</v>
      </c>
      <c r="Q19">
        <v>1</v>
      </c>
      <c r="R19" s="86">
        <v>0.216</v>
      </c>
    </row>
    <row r="20" spans="1:18">
      <c r="A20" s="80" t="s">
        <v>37</v>
      </c>
      <c r="B20" s="12" t="s">
        <v>59</v>
      </c>
      <c r="C20" s="81">
        <v>1.3318112633181E-13</v>
      </c>
      <c r="D20" s="84">
        <f t="shared" si="8"/>
        <v>5203440000000.0488</v>
      </c>
      <c r="E20" s="81">
        <v>5203440000000</v>
      </c>
      <c r="F20" s="80">
        <v>213</v>
      </c>
      <c r="G20" s="85">
        <v>7.9878069883300003E-5</v>
      </c>
      <c r="H20" s="85">
        <v>1.1961360473E-4</v>
      </c>
      <c r="I20" s="85">
        <v>2.3715801176599999E-4</v>
      </c>
      <c r="J20" s="85">
        <v>3.58053782741E-4</v>
      </c>
      <c r="K20" s="85">
        <v>2.43870603298E-4</v>
      </c>
      <c r="L20" s="80">
        <v>4.6446094620500002E-5</v>
      </c>
      <c r="M20" s="80">
        <v>7.1769657802899997E-5</v>
      </c>
      <c r="N20" s="80">
        <v>6.3268664794900002E-5</v>
      </c>
      <c r="O20" s="80">
        <v>6.48918276581E-5</v>
      </c>
      <c r="P20" s="80">
        <v>5.5847523508599998E-5</v>
      </c>
      <c r="Q20">
        <v>1</v>
      </c>
      <c r="R20" s="86">
        <v>0.217</v>
      </c>
    </row>
    <row r="21" spans="1:18">
      <c r="A21" s="80" t="s">
        <v>38</v>
      </c>
      <c r="B21" s="90" t="s">
        <v>59</v>
      </c>
      <c r="C21" s="81">
        <v>5.2099188229324998E-12</v>
      </c>
      <c r="D21" s="84">
        <f t="shared" si="8"/>
        <v>133015508216.67735</v>
      </c>
      <c r="E21" s="81">
        <v>133015508216.67999</v>
      </c>
      <c r="F21" s="80">
        <v>214</v>
      </c>
      <c r="G21" s="85">
        <v>1.6532079163799999E-4</v>
      </c>
      <c r="H21" s="85">
        <v>2.4915423867499998E-4</v>
      </c>
      <c r="I21" s="85">
        <v>4.8897153953800004E-4</v>
      </c>
      <c r="J21" s="85">
        <v>7.4912010256999995E-4</v>
      </c>
      <c r="K21" s="85">
        <v>5.0259569541200001E-4</v>
      </c>
      <c r="L21" s="80">
        <v>9.5970058878700002E-5</v>
      </c>
      <c r="M21" s="80">
        <v>1.5459698978300001E-4</v>
      </c>
      <c r="N21" s="80">
        <v>1.3336788413500001E-4</v>
      </c>
      <c r="O21" s="80">
        <v>1.3678783155099999E-4</v>
      </c>
      <c r="P21" s="80">
        <v>1.18613229749E-4</v>
      </c>
      <c r="Q21">
        <v>1</v>
      </c>
      <c r="R21" s="86">
        <v>0.216</v>
      </c>
    </row>
    <row r="22" spans="1:18">
      <c r="A22" s="80" t="s">
        <v>39</v>
      </c>
      <c r="B22" s="90" t="s">
        <v>59</v>
      </c>
      <c r="C22" s="81">
        <v>5.8980213089802E-6</v>
      </c>
      <c r="D22" s="84">
        <f t="shared" si="8"/>
        <v>117497.03225806476</v>
      </c>
      <c r="E22" s="81">
        <v>117497.03225806</v>
      </c>
      <c r="F22" s="80">
        <v>218</v>
      </c>
      <c r="G22" s="85">
        <v>0</v>
      </c>
      <c r="H22" s="85">
        <v>0</v>
      </c>
      <c r="I22" s="85">
        <v>0</v>
      </c>
      <c r="J22" s="85">
        <v>0</v>
      </c>
      <c r="K22" s="85">
        <v>0</v>
      </c>
      <c r="L22" s="80">
        <v>0</v>
      </c>
      <c r="M22" s="80">
        <v>0</v>
      </c>
      <c r="N22" s="80">
        <v>0</v>
      </c>
      <c r="O22" s="80">
        <v>0</v>
      </c>
      <c r="P22" s="80">
        <v>0</v>
      </c>
      <c r="Q22">
        <v>0.9</v>
      </c>
      <c r="R22" s="86">
        <v>0.9</v>
      </c>
    </row>
    <row r="23" spans="1:18">
      <c r="A23" s="80" t="s">
        <v>26</v>
      </c>
      <c r="B23" s="12" t="s">
        <v>59</v>
      </c>
      <c r="C23" s="81">
        <v>4.0821917808218998E-2</v>
      </c>
      <c r="D23" s="84">
        <f t="shared" ref="D23:D24" si="9">0.693/C23</f>
        <v>16.976174496644369</v>
      </c>
      <c r="E23" s="81">
        <v>16.976174496643999</v>
      </c>
      <c r="F23" s="80">
        <v>225</v>
      </c>
      <c r="G23" s="85">
        <v>1.2197409474700001</v>
      </c>
      <c r="H23" s="85">
        <v>3.0382374789100002</v>
      </c>
      <c r="I23" s="85">
        <v>6.0093366559500003</v>
      </c>
      <c r="J23" s="85">
        <v>7.2761436756500002</v>
      </c>
      <c r="K23" s="85">
        <v>0.82650946920699997</v>
      </c>
      <c r="L23" s="80">
        <v>0.73574125458100004</v>
      </c>
      <c r="M23" s="80">
        <v>0.82663859259432204</v>
      </c>
      <c r="N23" s="80">
        <v>0.46347718988800002</v>
      </c>
      <c r="O23" s="80">
        <v>0.48897980057099999</v>
      </c>
      <c r="P23" s="80">
        <v>0.44353911085699999</v>
      </c>
      <c r="Q23">
        <v>1</v>
      </c>
      <c r="R23" s="86">
        <v>0.47299999999999998</v>
      </c>
    </row>
    <row r="24" spans="1:18">
      <c r="A24" s="80" t="s">
        <v>27</v>
      </c>
      <c r="B24" s="90" t="s">
        <v>44</v>
      </c>
      <c r="C24" s="81">
        <v>1600</v>
      </c>
      <c r="D24" s="84">
        <f t="shared" si="9"/>
        <v>4.3312499999999997E-4</v>
      </c>
      <c r="E24" s="81">
        <v>4.3312500000000002E-4</v>
      </c>
      <c r="F24" s="80">
        <v>226</v>
      </c>
      <c r="G24" s="85">
        <v>1.7947144398549499</v>
      </c>
      <c r="H24" s="85">
        <v>1.8313952920684999</v>
      </c>
      <c r="I24" s="85">
        <v>2.2258880500156399</v>
      </c>
      <c r="J24" s="85">
        <v>2.2941868095974098</v>
      </c>
      <c r="K24" s="85">
        <v>2.0097176995373198</v>
      </c>
      <c r="L24" s="80">
        <v>0.99899151107912099</v>
      </c>
      <c r="M24" s="80">
        <v>5.0265351796600001E-2</v>
      </c>
      <c r="N24" s="80">
        <v>1.2978285873980899</v>
      </c>
      <c r="O24" s="80">
        <v>1.2749406990991199</v>
      </c>
      <c r="P24" s="80">
        <v>1.3500673283776901</v>
      </c>
      <c r="Q24">
        <v>1</v>
      </c>
      <c r="R24" s="86">
        <v>0.316</v>
      </c>
    </row>
    <row r="25" spans="1:18">
      <c r="A25" s="80" t="s">
        <v>30</v>
      </c>
      <c r="B25" s="90" t="s">
        <v>59</v>
      </c>
      <c r="C25" s="81">
        <v>1.1098427194318E-9</v>
      </c>
      <c r="D25" s="84">
        <f t="shared" ref="D25:D26" si="10">0.693/C25</f>
        <v>624412799.99997771</v>
      </c>
      <c r="E25" s="81">
        <v>624412800</v>
      </c>
      <c r="F25" s="80">
        <v>218</v>
      </c>
      <c r="G25" s="85">
        <v>1.9935312587E-3</v>
      </c>
      <c r="H25" s="85">
        <v>3.8026937948800001E-3</v>
      </c>
      <c r="I25" s="85">
        <v>5.5311214220599998E-3</v>
      </c>
      <c r="J25" s="85">
        <v>8.6624263861100007E-3</v>
      </c>
      <c r="K25" s="85">
        <v>8.2281476623100001E-3</v>
      </c>
      <c r="L25" s="80">
        <v>1.18125247576E-3</v>
      </c>
      <c r="M25" s="80">
        <v>1.6933864354300001E-3</v>
      </c>
      <c r="N25" s="80">
        <v>1.60677209698E-3</v>
      </c>
      <c r="O25" s="80">
        <v>1.7630849140700001E-3</v>
      </c>
      <c r="P25" s="80">
        <v>1.3921116493499999E-3</v>
      </c>
      <c r="Q25">
        <v>1</v>
      </c>
      <c r="R25" s="86">
        <v>0.223</v>
      </c>
    </row>
    <row r="26" spans="1:18">
      <c r="A26" s="80" t="s">
        <v>31</v>
      </c>
      <c r="B26" s="90" t="s">
        <v>44</v>
      </c>
      <c r="C26" s="81">
        <v>1.0475342465753001E-2</v>
      </c>
      <c r="D26" s="84">
        <f t="shared" si="10"/>
        <v>66.155355041195293</v>
      </c>
      <c r="E26" s="81">
        <v>66.155355041193005</v>
      </c>
      <c r="F26" s="80">
        <v>222</v>
      </c>
      <c r="G26" s="85">
        <v>1.2662983656800001E-3</v>
      </c>
      <c r="H26" s="85">
        <v>2.3271995890900002E-3</v>
      </c>
      <c r="I26" s="85">
        <v>3.2643469538699999E-3</v>
      </c>
      <c r="J26" s="85">
        <v>4.4702415729499997E-3</v>
      </c>
      <c r="K26" s="85">
        <v>4.38164187811E-3</v>
      </c>
      <c r="L26" s="80">
        <v>7.4567848921399998E-4</v>
      </c>
      <c r="M26" s="80">
        <v>1.0537485824400001E-3</v>
      </c>
      <c r="N26" s="80">
        <v>9.75096729929E-4</v>
      </c>
      <c r="O26" s="80">
        <v>1.1340800121999999E-3</v>
      </c>
      <c r="P26" s="80">
        <v>1.0574823301700001E-3</v>
      </c>
      <c r="Q26">
        <v>1</v>
      </c>
      <c r="R26" s="86">
        <v>0.223</v>
      </c>
    </row>
    <row r="27" spans="1:18">
      <c r="A27" s="80" t="s">
        <v>35</v>
      </c>
      <c r="B27" s="12" t="s">
        <v>59</v>
      </c>
      <c r="C27" s="81">
        <v>7340</v>
      </c>
      <c r="D27" s="84">
        <f t="shared" ref="D27:D30" si="11">0.693/C27</f>
        <v>9.4414168937329696E-5</v>
      </c>
      <c r="E27" s="81">
        <v>9.4414168937329994E-5</v>
      </c>
      <c r="F27" s="80">
        <v>229</v>
      </c>
      <c r="G27" s="85">
        <v>4.97278464596</v>
      </c>
      <c r="H27" s="85">
        <v>8.1035323848599994</v>
      </c>
      <c r="I27" s="85">
        <v>28.388510033199999</v>
      </c>
      <c r="J27" s="85">
        <v>30.617254122399999</v>
      </c>
      <c r="K27" s="85">
        <v>3.3119584581799999</v>
      </c>
      <c r="L27" s="80">
        <v>3.4912135445499999</v>
      </c>
      <c r="M27" s="80">
        <v>0.67411059211314805</v>
      </c>
      <c r="N27" s="80">
        <v>2.3244636082699999</v>
      </c>
      <c r="O27" s="80">
        <v>2.3440454912900002</v>
      </c>
      <c r="P27" s="80">
        <v>2.0010383421200002</v>
      </c>
      <c r="Q27">
        <v>1</v>
      </c>
      <c r="R27" s="86">
        <v>0.51700000000000002</v>
      </c>
    </row>
    <row r="28" spans="1:18">
      <c r="A28" s="80" t="s">
        <v>40</v>
      </c>
      <c r="B28" s="90" t="s">
        <v>59</v>
      </c>
      <c r="C28" s="81">
        <v>7.9908675799086997E-6</v>
      </c>
      <c r="D28" s="84">
        <f t="shared" si="11"/>
        <v>86723.999999999738</v>
      </c>
      <c r="E28" s="81">
        <v>86724</v>
      </c>
      <c r="F28" s="80">
        <v>206</v>
      </c>
      <c r="G28" s="85">
        <v>3.2787569004000001E-3</v>
      </c>
      <c r="H28" s="85">
        <v>3.3400217699999998E-3</v>
      </c>
      <c r="I28" s="85">
        <v>1.30718429999E-2</v>
      </c>
      <c r="J28" s="85">
        <v>1.27329035534E-2</v>
      </c>
      <c r="K28" s="85">
        <v>2.36499560487E-3</v>
      </c>
      <c r="L28" s="80">
        <v>1.8959040023599999E-3</v>
      </c>
      <c r="M28" s="80">
        <v>8.4159496761200005E-4</v>
      </c>
      <c r="N28" s="80">
        <v>1.53359852E-3</v>
      </c>
      <c r="O28" s="80">
        <v>1.21522191198E-3</v>
      </c>
      <c r="P28" s="80">
        <v>1.27315138167E-3</v>
      </c>
      <c r="Q28">
        <v>1</v>
      </c>
      <c r="R28" s="86">
        <v>0.39800000000000002</v>
      </c>
    </row>
    <row r="29" spans="1:18">
      <c r="A29" s="80" t="s">
        <v>41</v>
      </c>
      <c r="B29" s="12" t="s">
        <v>59</v>
      </c>
      <c r="C29" s="81">
        <v>4.1114916286149002E-6</v>
      </c>
      <c r="D29" s="84">
        <f t="shared" si="11"/>
        <v>168551.96668209226</v>
      </c>
      <c r="E29" s="81">
        <v>168551.96668208999</v>
      </c>
      <c r="F29" s="80">
        <v>209</v>
      </c>
      <c r="G29" s="85">
        <v>5.9995143173800001</v>
      </c>
      <c r="H29" s="85">
        <v>6.13271147687</v>
      </c>
      <c r="I29" s="85">
        <v>15.696256657599999</v>
      </c>
      <c r="J29" s="85">
        <v>18.302548441799999</v>
      </c>
      <c r="K29" s="85">
        <v>11.396416869599999</v>
      </c>
      <c r="L29" s="80">
        <v>3.3282903815</v>
      </c>
      <c r="M29" s="80">
        <v>3.5685586318000002</v>
      </c>
      <c r="N29" s="80">
        <v>4.0715618956800004</v>
      </c>
      <c r="O29" s="80">
        <v>4.0941405872200001</v>
      </c>
      <c r="P29" s="80">
        <v>3.5331609322399999</v>
      </c>
      <c r="Q29">
        <v>1</v>
      </c>
      <c r="R29" s="86">
        <v>0.218</v>
      </c>
    </row>
    <row r="30" spans="1:18">
      <c r="A30" s="80" t="s">
        <v>42</v>
      </c>
      <c r="B30" s="90" t="s">
        <v>59</v>
      </c>
      <c r="C30" s="81">
        <v>2.4733637747336E-6</v>
      </c>
      <c r="D30" s="84">
        <f t="shared" si="11"/>
        <v>280185.230769235</v>
      </c>
      <c r="E30" s="81">
        <v>280185.23076922999</v>
      </c>
      <c r="F30" s="80">
        <v>210</v>
      </c>
      <c r="G30" s="85">
        <v>6.0345174303500002</v>
      </c>
      <c r="H30" s="85">
        <v>7.29878659253</v>
      </c>
      <c r="I30" s="85">
        <v>17.797543341099999</v>
      </c>
      <c r="J30" s="85">
        <v>23.487984629700001</v>
      </c>
      <c r="K30" s="85">
        <v>14.3888685916</v>
      </c>
      <c r="L30" s="80">
        <v>3.6389880563300001</v>
      </c>
      <c r="M30" s="80">
        <v>4.4189883537899997</v>
      </c>
      <c r="N30" s="80">
        <v>4.3344762212200001</v>
      </c>
      <c r="O30" s="80">
        <v>4.4098822569699996</v>
      </c>
      <c r="P30" s="80">
        <v>3.7707453286299999</v>
      </c>
      <c r="Q30">
        <v>1</v>
      </c>
      <c r="R30" s="86">
        <v>0.22</v>
      </c>
    </row>
    <row r="31" spans="1:18">
      <c r="A31" s="80" t="s">
        <v>25</v>
      </c>
      <c r="B31" s="12" t="s">
        <v>59</v>
      </c>
      <c r="C31" s="81">
        <v>159200</v>
      </c>
      <c r="D31" s="84">
        <f t="shared" ref="D31" si="12">0.693/C31</f>
        <v>4.3530150753768842E-6</v>
      </c>
      <c r="E31" s="81">
        <v>4.3530150753769003E-6</v>
      </c>
      <c r="F31" s="80">
        <v>233</v>
      </c>
      <c r="G31" s="85">
        <v>0.21941750149799999</v>
      </c>
      <c r="H31" s="85">
        <v>1.2668764662071399</v>
      </c>
      <c r="I31" s="85">
        <v>1.75601399802</v>
      </c>
      <c r="J31" s="85">
        <v>1.9760049871400001</v>
      </c>
      <c r="K31" s="85">
        <v>0.16066463808199999</v>
      </c>
      <c r="L31" s="80">
        <v>0.18107805085000001</v>
      </c>
      <c r="M31" s="80">
        <v>0.62574610976221401</v>
      </c>
      <c r="N31" s="80">
        <v>8.8376547334099997E-2</v>
      </c>
      <c r="O31" s="80">
        <v>0.107562745152</v>
      </c>
      <c r="P31" s="80">
        <v>8.5062270096700004E-2</v>
      </c>
      <c r="Q31">
        <v>1</v>
      </c>
      <c r="R31" s="86">
        <v>0.625</v>
      </c>
    </row>
  </sheetData>
  <sheetProtection algorithmName="SHA-512" hashValue="faiV1IweQSbCFa/uIX/OxSCVm4jo6SiXf1uPUvb3ssyF3fPFjIlYG4fhLDJ4In3QsyDcah0uRej/tjnPKRHWpQ==" saltValue="Hwb7vQK3V4cCz+979mL76w==" spinCount="100000" sheet="1" formatCells="0" formatColumns="0" formatRows="0" insertColumns="0" insertRows="0" autoFilter="0"/>
  <autoFilter ref="A2:R31" xr:uid="{00000000-0009-0000-0000-000002000000}"/>
  <mergeCells count="1">
    <mergeCell ref="A1:E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4"/>
  <sheetViews>
    <sheetView workbookViewId="0">
      <selection sqref="A1:C1"/>
    </sheetView>
  </sheetViews>
  <sheetFormatPr defaultRowHeight="12.75"/>
  <cols>
    <col min="1" max="1" width="9.28515625" bestFit="1" customWidth="1"/>
    <col min="2" max="2" width="8.42578125" style="1" bestFit="1" customWidth="1"/>
    <col min="3" max="3" width="9.85546875" bestFit="1" customWidth="1"/>
    <col min="4" max="4" width="9.42578125" bestFit="1" customWidth="1"/>
    <col min="5" max="5" width="9.7109375" style="1" customWidth="1"/>
    <col min="6" max="6" width="9.42578125" bestFit="1" customWidth="1"/>
    <col min="7" max="7" width="7.42578125" customWidth="1"/>
    <col min="8" max="8" width="9" style="1" customWidth="1"/>
    <col min="9" max="9" width="9.42578125" bestFit="1" customWidth="1"/>
  </cols>
  <sheetData>
    <row r="1" spans="1:9" ht="19.5" thickBot="1">
      <c r="A1" s="137" t="s">
        <v>45</v>
      </c>
      <c r="B1" s="138"/>
      <c r="C1" s="139"/>
      <c r="D1" s="140" t="s">
        <v>46</v>
      </c>
      <c r="E1" s="141"/>
      <c r="F1" s="142"/>
      <c r="G1" s="143" t="s">
        <v>47</v>
      </c>
      <c r="H1" s="144"/>
      <c r="I1" s="145"/>
    </row>
    <row r="2" spans="1:9">
      <c r="A2" t="s">
        <v>48</v>
      </c>
      <c r="B2" s="1">
        <v>1</v>
      </c>
      <c r="C2" t="s">
        <v>51</v>
      </c>
      <c r="D2" t="s">
        <v>49</v>
      </c>
      <c r="E2" s="1">
        <v>1</v>
      </c>
      <c r="F2" t="s">
        <v>52</v>
      </c>
      <c r="G2" t="s">
        <v>50</v>
      </c>
      <c r="H2" s="1">
        <v>1</v>
      </c>
      <c r="I2" t="s">
        <v>52</v>
      </c>
    </row>
    <row r="3" spans="1:9" ht="18.75">
      <c r="A3" t="s">
        <v>53</v>
      </c>
      <c r="B3" s="60">
        <v>0</v>
      </c>
      <c r="C3" s="12" t="s">
        <v>222</v>
      </c>
      <c r="D3" t="s">
        <v>57</v>
      </c>
      <c r="E3" s="1">
        <v>0.23</v>
      </c>
      <c r="F3" s="12" t="s">
        <v>223</v>
      </c>
      <c r="G3" t="s">
        <v>84</v>
      </c>
      <c r="H3" s="1">
        <v>250</v>
      </c>
      <c r="I3" t="s">
        <v>70</v>
      </c>
    </row>
    <row r="4" spans="1:9">
      <c r="A4" t="s">
        <v>54</v>
      </c>
      <c r="B4" s="1">
        <v>1</v>
      </c>
      <c r="C4" s="12" t="s">
        <v>223</v>
      </c>
      <c r="D4" t="s">
        <v>58</v>
      </c>
      <c r="E4" s="1">
        <v>0.77</v>
      </c>
      <c r="F4" s="12" t="s">
        <v>223</v>
      </c>
      <c r="G4" t="s">
        <v>85</v>
      </c>
      <c r="H4" s="1">
        <v>8</v>
      </c>
      <c r="I4" t="s">
        <v>71</v>
      </c>
    </row>
    <row r="5" spans="1:9">
      <c r="A5" s="12" t="s">
        <v>130</v>
      </c>
      <c r="B5" s="1">
        <v>1</v>
      </c>
      <c r="C5" s="12" t="s">
        <v>223</v>
      </c>
      <c r="D5" t="s">
        <v>62</v>
      </c>
      <c r="E5" s="1">
        <v>350</v>
      </c>
      <c r="F5" t="s">
        <v>70</v>
      </c>
      <c r="G5" t="s">
        <v>86</v>
      </c>
      <c r="H5" s="1">
        <v>4</v>
      </c>
      <c r="I5" t="s">
        <v>71</v>
      </c>
    </row>
    <row r="6" spans="1:9">
      <c r="A6" t="s">
        <v>55</v>
      </c>
      <c r="B6" s="1">
        <v>1</v>
      </c>
      <c r="C6" s="12" t="s">
        <v>223</v>
      </c>
      <c r="D6" t="s">
        <v>63</v>
      </c>
      <c r="E6" s="1">
        <v>350</v>
      </c>
      <c r="F6" t="s">
        <v>70</v>
      </c>
      <c r="G6" t="s">
        <v>87</v>
      </c>
      <c r="H6" s="1">
        <v>4</v>
      </c>
      <c r="I6" t="s">
        <v>71</v>
      </c>
    </row>
    <row r="7" spans="1:9" ht="14.25">
      <c r="A7" t="s">
        <v>56</v>
      </c>
      <c r="B7" s="1">
        <v>1</v>
      </c>
      <c r="C7" s="12" t="s">
        <v>223</v>
      </c>
      <c r="D7" t="s">
        <v>64</v>
      </c>
      <c r="E7" s="1">
        <v>350</v>
      </c>
      <c r="F7" t="s">
        <v>70</v>
      </c>
      <c r="G7" t="s">
        <v>88</v>
      </c>
      <c r="H7" s="1">
        <v>398</v>
      </c>
      <c r="I7" s="13" t="s">
        <v>224</v>
      </c>
    </row>
    <row r="8" spans="1:9">
      <c r="A8" t="s">
        <v>246</v>
      </c>
      <c r="B8" s="1">
        <v>0.4</v>
      </c>
      <c r="D8" t="s">
        <v>65</v>
      </c>
      <c r="E8" s="1">
        <v>24</v>
      </c>
      <c r="F8" t="s">
        <v>71</v>
      </c>
      <c r="G8" s="13" t="s">
        <v>89</v>
      </c>
      <c r="H8" s="1">
        <v>3.0249999999999999</v>
      </c>
      <c r="I8" s="13" t="s">
        <v>74</v>
      </c>
    </row>
    <row r="9" spans="1:9" ht="14.25">
      <c r="A9" t="s">
        <v>247</v>
      </c>
      <c r="B9" s="1">
        <v>0.64</v>
      </c>
      <c r="C9" s="12" t="s">
        <v>223</v>
      </c>
      <c r="D9" t="s">
        <v>77</v>
      </c>
      <c r="E9" s="1">
        <v>24</v>
      </c>
      <c r="F9" t="s">
        <v>71</v>
      </c>
      <c r="G9" t="s">
        <v>90</v>
      </c>
      <c r="H9" s="1">
        <v>60</v>
      </c>
      <c r="I9" s="13" t="s">
        <v>225</v>
      </c>
    </row>
    <row r="10" spans="1:9" ht="14.25">
      <c r="A10" t="s">
        <v>248</v>
      </c>
      <c r="B10" s="1">
        <v>0.08</v>
      </c>
      <c r="D10" t="s">
        <v>78</v>
      </c>
      <c r="E10" s="1">
        <v>24</v>
      </c>
      <c r="F10" t="s">
        <v>71</v>
      </c>
      <c r="G10" s="12" t="s">
        <v>254</v>
      </c>
      <c r="H10" s="61">
        <f>((FTSSh_a*ETiw_h)+(FTSSs_a*ETiw_s))*EFiw*SAiw*FQiw*FSAres_a*SE</f>
        <v>20226.360000000004</v>
      </c>
      <c r="I10" s="13" t="s">
        <v>230</v>
      </c>
    </row>
    <row r="11" spans="1:9">
      <c r="A11" t="s">
        <v>249</v>
      </c>
      <c r="B11" s="1">
        <v>0.14000000000000001</v>
      </c>
      <c r="C11" s="12" t="s">
        <v>223</v>
      </c>
      <c r="D11" t="s">
        <v>66</v>
      </c>
      <c r="E11" s="1">
        <v>6</v>
      </c>
      <c r="F11" t="s">
        <v>71</v>
      </c>
    </row>
    <row r="12" spans="1:9">
      <c r="A12" t="s">
        <v>59</v>
      </c>
      <c r="B12" s="1">
        <v>0.5</v>
      </c>
      <c r="C12" s="12" t="s">
        <v>223</v>
      </c>
      <c r="D12" t="s">
        <v>67</v>
      </c>
      <c r="E12" s="1">
        <v>6</v>
      </c>
      <c r="F12" t="s">
        <v>71</v>
      </c>
    </row>
    <row r="13" spans="1:9">
      <c r="A13" s="13" t="s">
        <v>60</v>
      </c>
      <c r="B13" s="62">
        <v>27.027027027027</v>
      </c>
      <c r="C13" s="13" t="s">
        <v>61</v>
      </c>
      <c r="D13" t="s">
        <v>68</v>
      </c>
      <c r="E13" s="1">
        <v>10</v>
      </c>
      <c r="F13" t="s">
        <v>71</v>
      </c>
    </row>
    <row r="14" spans="1:9">
      <c r="A14" s="13" t="s">
        <v>227</v>
      </c>
      <c r="B14" s="63">
        <f>2.8*(10^(-15))</f>
        <v>2.8000000000000001E-15</v>
      </c>
      <c r="C14" s="12" t="s">
        <v>228</v>
      </c>
      <c r="D14" t="s">
        <v>69</v>
      </c>
      <c r="E14" s="1">
        <v>10</v>
      </c>
      <c r="F14" t="s">
        <v>71</v>
      </c>
    </row>
    <row r="15" spans="1:9" ht="14.25">
      <c r="A15" s="13" t="s">
        <v>227</v>
      </c>
      <c r="B15" s="63">
        <f>2.8*(10^(-12))</f>
        <v>2.7999999999999998E-12</v>
      </c>
      <c r="C15" s="12" t="s">
        <v>229</v>
      </c>
      <c r="D15" t="s">
        <v>72</v>
      </c>
      <c r="E15" s="1">
        <v>223</v>
      </c>
      <c r="F15" s="13" t="s">
        <v>224</v>
      </c>
    </row>
    <row r="16" spans="1:9" ht="14.25">
      <c r="A16" t="s">
        <v>82</v>
      </c>
      <c r="B16" s="1">
        <v>1</v>
      </c>
      <c r="C16" s="12" t="s">
        <v>223</v>
      </c>
      <c r="D16" t="s">
        <v>73</v>
      </c>
      <c r="E16" s="1">
        <v>398</v>
      </c>
      <c r="F16" s="13" t="s">
        <v>224</v>
      </c>
    </row>
    <row r="17" spans="1:6">
      <c r="A17" t="s">
        <v>83</v>
      </c>
      <c r="B17" s="1">
        <v>1</v>
      </c>
      <c r="C17" s="12" t="s">
        <v>223</v>
      </c>
      <c r="D17" s="13" t="s">
        <v>75</v>
      </c>
      <c r="E17" s="16">
        <v>17.7</v>
      </c>
      <c r="F17" s="13" t="s">
        <v>74</v>
      </c>
    </row>
    <row r="18" spans="1:6">
      <c r="D18" s="13" t="s">
        <v>76</v>
      </c>
      <c r="E18" s="16">
        <v>3.0249999999999999</v>
      </c>
      <c r="F18" s="13" t="s">
        <v>74</v>
      </c>
    </row>
    <row r="19" spans="1:6">
      <c r="D19" s="13" t="s">
        <v>250</v>
      </c>
      <c r="E19" s="1">
        <v>0.1</v>
      </c>
    </row>
    <row r="20" spans="1:6">
      <c r="D20" s="13" t="s">
        <v>251</v>
      </c>
      <c r="E20" s="1">
        <v>7.0000000000000007E-2</v>
      </c>
    </row>
    <row r="21" spans="1:6" ht="14.25">
      <c r="D21" s="13" t="s">
        <v>133</v>
      </c>
      <c r="E21" s="16">
        <v>10</v>
      </c>
      <c r="F21" s="13" t="s">
        <v>225</v>
      </c>
    </row>
    <row r="22" spans="1:6" ht="14.25">
      <c r="D22" s="13" t="s">
        <v>134</v>
      </c>
      <c r="E22" s="16">
        <v>20</v>
      </c>
      <c r="F22" s="13" t="s">
        <v>225</v>
      </c>
    </row>
    <row r="23" spans="1:6" ht="14.25">
      <c r="D23" s="12" t="s">
        <v>131</v>
      </c>
      <c r="E23" s="61">
        <f>((((FTSSh_c*ETres_c_h)+(FTSSs_c*ETres_c_s))*EFres_c*AAFc*SAres_c*FQres_c*FSAres_c*SE)+(((FTSSh_a*ETres_a_h)+(FTSSs_a*ETres_a_s))*EFres_a*AAFa*SAres_a*FQres_a*FSAres_a*SE))</f>
        <v>119588.31289999999</v>
      </c>
      <c r="F23" s="13" t="s">
        <v>230</v>
      </c>
    </row>
    <row r="24" spans="1:6" ht="14.25">
      <c r="D24" s="12" t="s">
        <v>132</v>
      </c>
      <c r="E24" s="64">
        <f>((IRAres_c*ETres_c*(1/24)*EFres_c*AAFc)+(IRAres_a*ETres_a*(1/24)*EFres_a*AAFa))</f>
        <v>6195</v>
      </c>
      <c r="F24" s="13" t="s">
        <v>231</v>
      </c>
    </row>
  </sheetData>
  <sheetProtection algorithmName="SHA-512" hashValue="ZupeiOxkq7lZaiZ3YoNCfLY6zeNWsuddbEVLlIDBwHqgGnytGYDHPFolctaf61aaLUSZKRZPGYdBop7RP5JJWw==" saltValue="QBvIrIWrQbcnk6yzXDdZEQ==" spinCount="100000" sheet="1" formatCells="0" formatColumns="0" formatRows="0" insertColumns="0" insertRows="0"/>
  <mergeCells count="3">
    <mergeCell ref="A1:C1"/>
    <mergeCell ref="D1:F1"/>
    <mergeCell ref="G1:I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499984740745262"/>
  </sheetPr>
  <dimension ref="A1:L78"/>
  <sheetViews>
    <sheetView zoomScaleNormal="100" workbookViewId="0">
      <pane xSplit="2" ySplit="3" topLeftCell="C4" activePane="bottomRight" state="frozen"/>
      <selection activeCell="I6" sqref="I6"/>
      <selection pane="topRight" activeCell="I6" sqref="I6"/>
      <selection pane="bottomLeft" activeCell="I6" sqref="I6"/>
      <selection pane="bottomRight" activeCell="C4" sqref="C4"/>
    </sheetView>
  </sheetViews>
  <sheetFormatPr defaultRowHeight="12.75"/>
  <cols>
    <col min="1" max="1" width="12.5703125" style="22" bestFit="1" customWidth="1"/>
    <col min="2" max="2" width="12" style="22" bestFit="1" customWidth="1"/>
    <col min="3" max="3" width="13.85546875" style="22" bestFit="1" customWidth="1"/>
    <col min="4" max="4" width="14" style="22" bestFit="1" customWidth="1"/>
    <col min="5" max="5" width="13.5703125" style="22" bestFit="1" customWidth="1"/>
    <col min="6" max="6" width="13.85546875" style="22" bestFit="1" customWidth="1"/>
    <col min="7" max="7" width="14" style="22" bestFit="1" customWidth="1"/>
    <col min="8" max="8" width="13.5703125" style="22" bestFit="1" customWidth="1"/>
    <col min="9" max="9" width="13.85546875" style="22" bestFit="1" customWidth="1"/>
    <col min="10" max="10" width="14" style="22" bestFit="1" customWidth="1"/>
    <col min="11" max="11" width="13.5703125" style="22" bestFit="1" customWidth="1"/>
    <col min="12" max="12" width="11.28515625" bestFit="1" customWidth="1"/>
  </cols>
  <sheetData>
    <row r="1" spans="1:12" ht="13.5" thickBot="1">
      <c r="C1" s="155" t="s">
        <v>61</v>
      </c>
      <c r="D1" s="156"/>
      <c r="E1" s="157"/>
      <c r="F1" s="155" t="s">
        <v>138</v>
      </c>
      <c r="G1" s="156"/>
      <c r="H1" s="157"/>
      <c r="I1" s="155" t="s">
        <v>139</v>
      </c>
      <c r="J1" s="156"/>
      <c r="K1" s="157"/>
      <c r="L1" s="65" t="s">
        <v>252</v>
      </c>
    </row>
    <row r="2" spans="1:12">
      <c r="A2" s="11" t="s">
        <v>0</v>
      </c>
      <c r="B2" s="11" t="s">
        <v>43</v>
      </c>
      <c r="C2" s="35" t="s">
        <v>135</v>
      </c>
      <c r="D2" s="36" t="s">
        <v>136</v>
      </c>
      <c r="E2" s="38" t="s">
        <v>137</v>
      </c>
      <c r="F2" s="35" t="s">
        <v>135</v>
      </c>
      <c r="G2" s="36" t="s">
        <v>136</v>
      </c>
      <c r="H2" s="36" t="s">
        <v>137</v>
      </c>
      <c r="I2" s="35" t="s">
        <v>135</v>
      </c>
      <c r="J2" s="36" t="s">
        <v>136</v>
      </c>
      <c r="K2" s="37" t="s">
        <v>137</v>
      </c>
      <c r="L2" s="66" t="s">
        <v>137</v>
      </c>
    </row>
    <row r="3" spans="1:12" ht="13.5" thickBot="1">
      <c r="B3" s="26" t="s">
        <v>44</v>
      </c>
      <c r="C3" s="27" t="s">
        <v>140</v>
      </c>
      <c r="D3" s="28" t="s">
        <v>140</v>
      </c>
      <c r="E3" s="39" t="s">
        <v>140</v>
      </c>
      <c r="F3" s="27" t="s">
        <v>141</v>
      </c>
      <c r="G3" s="28" t="s">
        <v>141</v>
      </c>
      <c r="H3" s="28" t="s">
        <v>141</v>
      </c>
      <c r="I3" s="27" t="s">
        <v>142</v>
      </c>
      <c r="J3" s="28" t="s">
        <v>142</v>
      </c>
      <c r="K3" s="29" t="s">
        <v>142</v>
      </c>
      <c r="L3" s="79" t="s">
        <v>253</v>
      </c>
    </row>
    <row r="4" spans="1:12">
      <c r="A4" s="87" t="s">
        <v>23</v>
      </c>
      <c r="B4" s="12" t="s">
        <v>59</v>
      </c>
      <c r="C4" s="2">
        <f>IFERROR((DL)/(Doses!E2*IFDres_adj*Fin*Fi),".")</f>
        <v>4.3212346314200574E-2</v>
      </c>
      <c r="D4" s="3">
        <f>IFERROR((DL)/(Doses!L2*Fin*Fi*Fam*Foff*ETres*(1/24)*EFres*(1/365)*Isospec!Q3),".")</f>
        <v>67.582830628168537</v>
      </c>
      <c r="E4" s="3">
        <f t="shared" ref="E4:E5" si="0">IFERROR(IF(AND(ISNUMBER(C4),ISNUMBER(D4)),(1/((1/C4)+(1/D4))),IF(AND(ISNUMBER(C4),NOT(ISNUMBER(D4))),(1/(1/C4)),IF(AND(NOT(ISNUMBER(C4)),ISNUMBER(D4)),(1/(1/D4)),"."))),".")</f>
        <v>4.3184734069097258E-2</v>
      </c>
      <c r="F4" s="2">
        <f t="shared" ref="F4:F5" si="1">IFERROR(C4/_1_bq,".")</f>
        <v>1.598856813625423E-3</v>
      </c>
      <c r="G4" s="3">
        <f t="shared" ref="G4:G5" si="2">IFERROR(D4/_1_bq,".")</f>
        <v>2.5005647332422383</v>
      </c>
      <c r="H4" s="5">
        <f t="shared" ref="H4:H5" si="3">IFERROR(E4/_1_bq,".")</f>
        <v>1.5978351605566003E-3</v>
      </c>
      <c r="I4" s="2">
        <f>IFERROR(C4*Isospec!C3*Isospec!F3*SSLcm_m,".")</f>
        <v>7.4585693638210296E-16</v>
      </c>
      <c r="J4" s="3">
        <f>IFERROR(D4*Isospec!C3*Isospec!F3*SSLcm_m,".")</f>
        <v>1.1664981724862138E-12</v>
      </c>
      <c r="K4" s="5">
        <f>IFERROR(E4*Isospec!C3*Isospec!F3*SSLcm_m,".")</f>
        <v>7.4538034146662094E-16</v>
      </c>
      <c r="L4" s="67">
        <f t="shared" ref="L4:L5" si="4">IF(E4&lt;&gt;".",E4*2.22*100,".")</f>
        <v>9.5870109633395924</v>
      </c>
    </row>
    <row r="5" spans="1:12">
      <c r="A5" s="88" t="s">
        <v>14</v>
      </c>
      <c r="B5" s="12" t="s">
        <v>44</v>
      </c>
      <c r="C5" s="2">
        <f>IFERROR((DL)/(Doses!E3*IFDres_adj*Fin*Fi),".")</f>
        <v>9.4958223203054203E-3</v>
      </c>
      <c r="D5" s="3">
        <f>IFERROR((DL)/(Doses!L3*Fin*Fi*Fam*Foff*ETres*(1/24)*EFres*(1/365)*Isospec!Q4),".")</f>
        <v>40.921713958340582</v>
      </c>
      <c r="E5" s="3">
        <f t="shared" si="0"/>
        <v>9.493619340182868E-3</v>
      </c>
      <c r="F5" s="2">
        <f t="shared" si="1"/>
        <v>3.5134542585130092E-4</v>
      </c>
      <c r="G5" s="3">
        <f t="shared" si="2"/>
        <v>1.5141034164586031</v>
      </c>
      <c r="H5" s="5">
        <f t="shared" si="3"/>
        <v>3.5126391558676649E-4</v>
      </c>
      <c r="I5" s="2">
        <f>IFERROR(C5*Isospec!C4*Isospec!F4*SSLcm_m,".")</f>
        <v>2.7694429057329344E-12</v>
      </c>
      <c r="J5" s="3">
        <f>IFERROR(D5*Isospec!C4*Isospec!F4*SSLcm_m,".")</f>
        <v>1.1934758948681931E-8</v>
      </c>
      <c r="K5" s="5">
        <f>IFERROR(E5*Isospec!C4*Isospec!F4*SSLcm_m,".")</f>
        <v>2.7688004097524836E-12</v>
      </c>
      <c r="L5" s="67">
        <f t="shared" si="4"/>
        <v>2.1075834935205968</v>
      </c>
    </row>
    <row r="6" spans="1:12">
      <c r="A6" s="87" t="s">
        <v>15</v>
      </c>
      <c r="B6" s="12" t="s">
        <v>59</v>
      </c>
      <c r="C6" s="2" t="str">
        <f>IFERROR((DL)/(Doses!E4*IFDres_adj*Fin*Fi),".")</f>
        <v>.</v>
      </c>
      <c r="D6" s="3">
        <f>IFERROR((DL)/(Doses!L4*Fin*Fi*Fam*Foff*ETres*(1/24)*EFres*(1/365)*Isospec!Q5),".")</f>
        <v>3929.9267149419584</v>
      </c>
      <c r="E6" s="3">
        <f t="shared" ref="E6:E8" si="5">IFERROR(IF(AND(ISNUMBER(C6),ISNUMBER(D6)),(1/((1/C6)+(1/D6))),IF(AND(ISNUMBER(C6),NOT(ISNUMBER(D6))),(1/(1/C6)),IF(AND(NOT(ISNUMBER(C6)),ISNUMBER(D6)),(1/(1/D6)),"."))),".")</f>
        <v>3929.9267149419584</v>
      </c>
      <c r="F6" s="2" t="str">
        <f t="shared" ref="F6:F8" si="6">IFERROR(C6/_1_bq,".")</f>
        <v>.</v>
      </c>
      <c r="G6" s="3">
        <f t="shared" ref="G6:G8" si="7">IFERROR(D6/_1_bq,".")</f>
        <v>145.40728845285261</v>
      </c>
      <c r="H6" s="5">
        <f t="shared" ref="H6:H8" si="8">IFERROR(E6/_1_bq,".")</f>
        <v>145.40728845285261</v>
      </c>
      <c r="I6" s="2" t="str">
        <f>IFERROR(C6*Isospec!C5*Isospec!F5*SSLcm_m,".")</f>
        <v>.</v>
      </c>
      <c r="J6" s="3">
        <f>IFERROR(D6*Isospec!C5*Isospec!F5*SSLcm_m,".")</f>
        <v>2.4456715545902902E-18</v>
      </c>
      <c r="K6" s="5">
        <f>IFERROR(E6*Isospec!C5*Isospec!F5*SSLcm_m,".")</f>
        <v>2.4456715545902902E-18</v>
      </c>
      <c r="L6" s="67">
        <f t="shared" ref="L6:L8" si="9">IF(E6&lt;&gt;".",E6*2.22*100,".")</f>
        <v>872443.73071711487</v>
      </c>
    </row>
    <row r="7" spans="1:12">
      <c r="A7" s="87" t="s">
        <v>16</v>
      </c>
      <c r="B7" s="89" t="s">
        <v>59</v>
      </c>
      <c r="C7" s="2" t="str">
        <f>IFERROR((DL)/(Doses!E5*IFDres_adj*Fin*Fi),".")</f>
        <v>.</v>
      </c>
      <c r="D7" s="3">
        <f>IFERROR((DL)/(Doses!L5*Fin*Fi*Fam*Foff*ETres*(1/24)*EFres*(1/365)*Isospec!Q6),".")</f>
        <v>7929.7187937051085</v>
      </c>
      <c r="E7" s="3">
        <f t="shared" si="5"/>
        <v>7929.7187937051085</v>
      </c>
      <c r="F7" s="2" t="str">
        <f t="shared" si="6"/>
        <v>.</v>
      </c>
      <c r="G7" s="3">
        <f t="shared" si="7"/>
        <v>293.39959536708932</v>
      </c>
      <c r="H7" s="5">
        <f t="shared" si="8"/>
        <v>293.39959536708932</v>
      </c>
      <c r="I7" s="2" t="str">
        <f>IFERROR(C7*Isospec!C6*Isospec!F6*SSLcm_m,".")</f>
        <v>.</v>
      </c>
      <c r="J7" s="3">
        <f>IFERROR(D7*Isospec!C6*Isospec!F6*SSLcm_m,".")</f>
        <v>2.3022737593595938E-16</v>
      </c>
      <c r="K7" s="5">
        <f>IFERROR(E7*Isospec!C6*Isospec!F6*SSLcm_m,".")</f>
        <v>2.3022737593595938E-16</v>
      </c>
      <c r="L7" s="67">
        <f t="shared" si="9"/>
        <v>1760397.5722025342</v>
      </c>
    </row>
    <row r="8" spans="1:12">
      <c r="A8" s="87" t="s">
        <v>18</v>
      </c>
      <c r="B8" s="12" t="s">
        <v>59</v>
      </c>
      <c r="C8" s="2" t="str">
        <f>IFERROR((DL)/(Doses!E6*IFDres_adj*Fin*Fi),".")</f>
        <v>.</v>
      </c>
      <c r="D8" s="3">
        <f>IFERROR((DL)/(Doses!L6*Fin*Fi*Fam*Foff*ETres*(1/24)*EFres*(1/365)*Isospec!Q7),".")</f>
        <v>1.5460890195698866</v>
      </c>
      <c r="E8" s="3">
        <f t="shared" si="5"/>
        <v>1.5460890195698866</v>
      </c>
      <c r="F8" s="2" t="str">
        <f t="shared" si="6"/>
        <v>.</v>
      </c>
      <c r="G8" s="3">
        <f t="shared" si="7"/>
        <v>5.7205293724085865E-2</v>
      </c>
      <c r="H8" s="5">
        <f t="shared" si="8"/>
        <v>5.7205293724085865E-2</v>
      </c>
      <c r="I8" s="2" t="str">
        <f>IFERROR(C8*Isospec!C7*Isospec!F7*SSLcm_m,".")</f>
        <v>.</v>
      </c>
      <c r="J8" s="3">
        <f>IFERROR(D8*Isospec!C7*Isospec!F7*SSLcm_m,".")</f>
        <v>2.8796413939472515E-18</v>
      </c>
      <c r="K8" s="5">
        <f>IFERROR(E8*Isospec!C7*Isospec!F7*SSLcm_m,".")</f>
        <v>2.8796413939472515E-18</v>
      </c>
      <c r="L8" s="67">
        <f t="shared" si="9"/>
        <v>343.23176234451489</v>
      </c>
    </row>
    <row r="9" spans="1:12">
      <c r="A9" s="87" t="s">
        <v>19</v>
      </c>
      <c r="B9" s="90" t="s">
        <v>59</v>
      </c>
      <c r="C9" s="2">
        <f>IFERROR((DL)/(Doses!E7*IFDres_adj*Fin*Fi),".")</f>
        <v>1.2555587290181611</v>
      </c>
      <c r="D9" s="3">
        <f>IFERROR((DL)/(Doses!L7*Fin*Fi*Fam*Foff*ETres*(1/24)*EFres*(1/365)*Isospec!Q8),".")</f>
        <v>25.415765364439448</v>
      </c>
      <c r="E9" s="3">
        <f t="shared" ref="E9:E11" si="10">IFERROR(IF(AND(ISNUMBER(C9),ISNUMBER(D9)),(1/((1/C9)+(1/D9))),IF(AND(ISNUMBER(C9),NOT(ISNUMBER(D9))),(1/(1/C9)),IF(AND(NOT(ISNUMBER(C9)),ISNUMBER(D9)),(1/(1/D9)),"."))),".")</f>
        <v>1.1964530124631891</v>
      </c>
      <c r="F9" s="2">
        <f t="shared" ref="F9:F11" si="11">IFERROR(C9/_1_bq,".")</f>
        <v>4.6455672973672008E-2</v>
      </c>
      <c r="G9" s="3">
        <f t="shared" ref="G9:G11" si="12">IFERROR(D9/_1_bq,".")</f>
        <v>0.94038331848426049</v>
      </c>
      <c r="H9" s="5">
        <f t="shared" ref="H9:H11" si="13">IFERROR(E9/_1_bq,".")</f>
        <v>4.4268761461138041E-2</v>
      </c>
      <c r="I9" s="2">
        <f>IFERROR(C9*Isospec!C8*Isospec!F8*SSLcm_m,".")</f>
        <v>1.0139562066405159E-14</v>
      </c>
      <c r="J9" s="3">
        <f>IFERROR(D9*Isospec!C8*Isospec!F8*SSLcm_m,".")</f>
        <v>2.0525103638875404E-13</v>
      </c>
      <c r="K9" s="5">
        <f>IFERROR(E9*Isospec!C8*Isospec!F8*SSLcm_m,".")</f>
        <v>9.6622398451203437E-15</v>
      </c>
      <c r="L9" s="67">
        <f t="shared" ref="L9:L11" si="14">IF(E9&lt;&gt;".",E9*2.22*100,".")</f>
        <v>265.61256876682802</v>
      </c>
    </row>
    <row r="10" spans="1:12">
      <c r="A10" s="87" t="s">
        <v>20</v>
      </c>
      <c r="B10" s="12" t="s">
        <v>59</v>
      </c>
      <c r="C10" s="2">
        <f>IFERROR((DL)/(Doses!E8*IFDres_adj*Fin*Fi),".")</f>
        <v>8.4328571351966044</v>
      </c>
      <c r="D10" s="3">
        <f>IFERROR((DL)/(Doses!L8*Fin*Fi*Fam*Foff*ETres*(1/24)*EFres*(1/365)*Isospec!Q9),".")</f>
        <v>5.4395936847062476</v>
      </c>
      <c r="E10" s="3">
        <f t="shared" si="10"/>
        <v>3.3066483357672989</v>
      </c>
      <c r="F10" s="2">
        <f t="shared" si="11"/>
        <v>0.31201571400227468</v>
      </c>
      <c r="G10" s="3">
        <f t="shared" si="12"/>
        <v>0.20126496633413138</v>
      </c>
      <c r="H10" s="5">
        <f t="shared" si="13"/>
        <v>0.12234598842339019</v>
      </c>
      <c r="I10" s="2">
        <f>IFERROR(C10*Isospec!C9*Isospec!F9*SSLcm_m,".")</f>
        <v>4.3624113362197838E-16</v>
      </c>
      <c r="J10" s="3">
        <f>IFERROR(D10*Isospec!C9*Isospec!F9*SSLcm_m,".")</f>
        <v>2.8139626670005055E-16</v>
      </c>
      <c r="K10" s="5">
        <f>IFERROR(E10*Isospec!C9*Isospec!F9*SSLcm_m,".")</f>
        <v>1.7105661762770091E-16</v>
      </c>
      <c r="L10" s="67">
        <f t="shared" si="14"/>
        <v>734.07593054034044</v>
      </c>
    </row>
    <row r="11" spans="1:12">
      <c r="A11" s="87" t="s">
        <v>21</v>
      </c>
      <c r="B11" s="90" t="s">
        <v>59</v>
      </c>
      <c r="C11" s="2">
        <f>IFERROR((DL)/(Doses!E9*IFDres_adj*Fin*Fi),".")</f>
        <v>15.167823572031475</v>
      </c>
      <c r="D11" s="3">
        <f>IFERROR((DL)/(Doses!L9*Fin*Fi*Fam*Foff*ETres*(1/24)*EFres*(1/365)*Isospec!Q10),".")</f>
        <v>0.62823476358579189</v>
      </c>
      <c r="E11" s="3">
        <f t="shared" si="10"/>
        <v>0.60324885192403466</v>
      </c>
      <c r="F11" s="2">
        <f t="shared" si="11"/>
        <v>0.56120947216516515</v>
      </c>
      <c r="G11" s="3">
        <f t="shared" si="12"/>
        <v>2.3244686252674323E-2</v>
      </c>
      <c r="H11" s="5">
        <f t="shared" si="13"/>
        <v>2.2320207521189305E-2</v>
      </c>
      <c r="I11" s="2">
        <f>IFERROR(C11*Isospec!C10*Isospec!F10*SSLcm_m,".")</f>
        <v>3.4410643397790994E-16</v>
      </c>
      <c r="J11" s="3">
        <f>IFERROR(D11*Isospec!C10*Isospec!F10*SSLcm_m,".")</f>
        <v>1.4252514421191181E-17</v>
      </c>
      <c r="K11" s="5">
        <f>IFERROR(E11*Isospec!C10*Isospec!F10*SSLcm_m,".")</f>
        <v>1.3685668893170392E-17</v>
      </c>
      <c r="L11" s="67">
        <f t="shared" si="14"/>
        <v>133.92124512713571</v>
      </c>
    </row>
    <row r="12" spans="1:12">
      <c r="A12" s="88" t="s">
        <v>17</v>
      </c>
      <c r="B12" s="12" t="s">
        <v>44</v>
      </c>
      <c r="C12" s="2">
        <f>IFERROR((DL)/(Doses!E10*IFDres_adj*Fin*Fi),".")</f>
        <v>0.1699252415212549</v>
      </c>
      <c r="D12" s="3">
        <f>IFERROR((DL)/(Doses!L10*Fin*Fi*Fam*Foff*ETres*(1/24)*EFres*(1/365)*Isospec!Q11),".")</f>
        <v>285.01385440633373</v>
      </c>
      <c r="E12" s="3">
        <f t="shared" ref="E12" si="15">IFERROR(IF(AND(ISNUMBER(C12),ISNUMBER(D12)),(1/((1/C12)+(1/D12))),IF(AND(ISNUMBER(C12),NOT(ISNUMBER(D12))),(1/(1/C12)),IF(AND(NOT(ISNUMBER(C12)),ISNUMBER(D12)),(1/(1/D12)),"."))),".")</f>
        <v>0.16982399246795421</v>
      </c>
      <c r="F12" s="2">
        <f t="shared" ref="F12" si="16">IFERROR(C12/_1_bq,".")</f>
        <v>6.2872339362864378E-3</v>
      </c>
      <c r="G12" s="3">
        <f t="shared" ref="G12" si="17">IFERROR(D12/_1_bq,".")</f>
        <v>10.54551261303436</v>
      </c>
      <c r="H12" s="5">
        <f t="shared" ref="H12" si="18">IFERROR(E12/_1_bq,".")</f>
        <v>6.283487721314312E-3</v>
      </c>
      <c r="I12" s="2">
        <f>IFERROR(C12*Isospec!C11*Isospec!F11*SSLcm_m,".")</f>
        <v>1.9663918126410075E-12</v>
      </c>
      <c r="J12" s="3">
        <f>IFERROR(D12*Isospec!C11*Isospec!F11*SSLcm_m,".")</f>
        <v>3.298208699169439E-9</v>
      </c>
      <c r="K12" s="5">
        <f>IFERROR(E12*Isospec!C11*Isospec!F11*SSLcm_m,".")</f>
        <v>1.9652201485158563E-12</v>
      </c>
      <c r="L12" s="67">
        <f t="shared" ref="L12" si="19">IF(E12&lt;&gt;".",E12*2.22*100,".")</f>
        <v>37.700926327885838</v>
      </c>
    </row>
    <row r="13" spans="1:12">
      <c r="A13" s="87" t="s">
        <v>24</v>
      </c>
      <c r="B13" s="12" t="s">
        <v>59</v>
      </c>
      <c r="C13" s="2" t="str">
        <f>IFERROR((DL)/(Doses!E11*IFDres_adj*Fin*Fi),".")</f>
        <v>.</v>
      </c>
      <c r="D13" s="3">
        <f>IFERROR((DL)/(Doses!L11*Fin*Fi*Fam*Foff*ETres*(1/24)*EFres*(1/365)*Isospec!Q12),".")</f>
        <v>33.163322092632889</v>
      </c>
      <c r="E13" s="3">
        <f t="shared" ref="E13" si="20">IFERROR(IF(AND(ISNUMBER(C13),ISNUMBER(D13)),(1/((1/C13)+(1/D13))),IF(AND(ISNUMBER(C13),NOT(ISNUMBER(D13))),(1/(1/C13)),IF(AND(NOT(ISNUMBER(C13)),ISNUMBER(D13)),(1/(1/D13)),"."))),".")</f>
        <v>33.163322092632889</v>
      </c>
      <c r="F13" s="2" t="str">
        <f t="shared" ref="F13" si="21">IFERROR(C13/_1_bq,".")</f>
        <v>.</v>
      </c>
      <c r="G13" s="3">
        <f t="shared" ref="G13" si="22">IFERROR(D13/_1_bq,".")</f>
        <v>1.2270429174274182</v>
      </c>
      <c r="H13" s="5">
        <f t="shared" ref="H13" si="23">IFERROR(E13/_1_bq,".")</f>
        <v>1.2270429174274182</v>
      </c>
      <c r="I13" s="2" t="str">
        <f>IFERROR(C13*Isospec!C12*Isospec!F12*SSLcm_m,".")</f>
        <v>.</v>
      </c>
      <c r="J13" s="3">
        <f>IFERROR(D13*Isospec!C12*Isospec!F12*SSLcm_m,".")</f>
        <v>1.9131501556985195E-16</v>
      </c>
      <c r="K13" s="5">
        <f>IFERROR(E13*Isospec!C12*Isospec!F12*SSLcm_m,".")</f>
        <v>1.9131501556985195E-16</v>
      </c>
      <c r="L13" s="67">
        <f t="shared" ref="L13" si="24">IF(E13&lt;&gt;".",E13*2.22*100,".")</f>
        <v>7362.2575045645026</v>
      </c>
    </row>
    <row r="14" spans="1:12">
      <c r="A14" s="87" t="s">
        <v>22</v>
      </c>
      <c r="B14" s="89" t="s">
        <v>59</v>
      </c>
      <c r="C14" s="2" t="str">
        <f>IFERROR((DL)/(Doses!E12*IFDres_adj*Fin*Fi),".")</f>
        <v>.</v>
      </c>
      <c r="D14" s="3">
        <f>IFERROR((DL)/(Doses!L12*Fin*Fi*Fam*Foff*ETres*(1/24)*EFres*(1/365)*Isospec!Q13),".")</f>
        <v>5.9872037871934545</v>
      </c>
      <c r="E14" s="3">
        <f t="shared" ref="E14" si="25">IFERROR(IF(AND(ISNUMBER(C14),ISNUMBER(D14)),(1/((1/C14)+(1/D14))),IF(AND(ISNUMBER(C14),NOT(ISNUMBER(D14))),(1/(1/C14)),IF(AND(NOT(ISNUMBER(C14)),ISNUMBER(D14)),(1/(1/D14)),"."))),".")</f>
        <v>5.9872037871934545</v>
      </c>
      <c r="F14" s="2" t="str">
        <f t="shared" ref="F14" si="26">IFERROR(C14/_1_bq,".")</f>
        <v>.</v>
      </c>
      <c r="G14" s="3">
        <f t="shared" ref="G14" si="27">IFERROR(D14/_1_bq,".")</f>
        <v>0.22152654012615805</v>
      </c>
      <c r="H14" s="5">
        <f t="shared" ref="H14" si="28">IFERROR(E14/_1_bq,".")</f>
        <v>0.22152654012615805</v>
      </c>
      <c r="I14" s="2" t="str">
        <f>IFERROR(C14*Isospec!C13*Isospec!F13*SSLcm_m,".")</f>
        <v>.</v>
      </c>
      <c r="J14" s="3">
        <f>IFERROR(D14*Isospec!C13*Isospec!F13*SSLcm_m,".")</f>
        <v>5.354902212194381E-17</v>
      </c>
      <c r="K14" s="5">
        <f>IFERROR(E14*Isospec!C13*Isospec!F13*SSLcm_m,".")</f>
        <v>5.354902212194381E-17</v>
      </c>
      <c r="L14" s="67">
        <f t="shared" ref="L14" si="29">IF(E14&lt;&gt;".",E14*2.22*100,".")</f>
        <v>1329.1592407569469</v>
      </c>
    </row>
    <row r="15" spans="1:12">
      <c r="A15" s="87" t="s">
        <v>28</v>
      </c>
      <c r="B15" s="12" t="s">
        <v>59</v>
      </c>
      <c r="C15" s="2">
        <f>IFERROR((DL)/(Doses!E13*IFDres_adj*Fin*Fi),".")</f>
        <v>1.8080045697861521E-2</v>
      </c>
      <c r="D15" s="3">
        <f>IFERROR((DL)/(Doses!L13*Fin*Fi*Fam*Foff*ETres*(1/24)*EFres*(1/365)*Isospec!Q14),".")</f>
        <v>36.561203454582973</v>
      </c>
      <c r="E15" s="3">
        <f t="shared" ref="E15:E16" si="30">IFERROR(IF(AND(ISNUMBER(C15),ISNUMBER(D15)),(1/((1/C15)+(1/D15))),IF(AND(ISNUMBER(C15),NOT(ISNUMBER(D15))),(1/(1/C15)),IF(AND(NOT(ISNUMBER(C15)),ISNUMBER(D15)),(1/(1/D15)),"."))),".")</f>
        <v>1.8071109272071929E-2</v>
      </c>
      <c r="F15" s="2">
        <f t="shared" ref="F15:F16" si="31">IFERROR(C15/_1_bq,".")</f>
        <v>6.6896169082087699E-4</v>
      </c>
      <c r="G15" s="3">
        <f t="shared" ref="G15:G16" si="32">IFERROR(D15/_1_bq,".")</f>
        <v>1.3527645278195715</v>
      </c>
      <c r="H15" s="5">
        <f t="shared" ref="H15:H16" si="33">IFERROR(E15/_1_bq,".")</f>
        <v>6.6863104306666204E-4</v>
      </c>
      <c r="I15" s="2">
        <f>IFERROR(C15*Isospec!C14*Isospec!F14*SSLcm_m,".")</f>
        <v>2.5723536889016341E-8</v>
      </c>
      <c r="J15" s="3">
        <f>IFERROR(D15*Isospec!C14*Isospec!F14*SSLcm_m,".")</f>
        <v>5.2017759329116945E-5</v>
      </c>
      <c r="K15" s="5">
        <f>IFERROR(E15*Isospec!C14*Isospec!F14*SSLcm_m,".")</f>
        <v>2.5710822514158221E-8</v>
      </c>
      <c r="L15" s="67">
        <f t="shared" ref="L15:L16" si="34">IF(E15&lt;&gt;".",E15*2.22*100,".")</f>
        <v>4.0117862583999688</v>
      </c>
    </row>
    <row r="16" spans="1:12">
      <c r="A16" s="87" t="s">
        <v>29</v>
      </c>
      <c r="B16" s="12" t="s">
        <v>59</v>
      </c>
      <c r="C16" s="2">
        <f>IFERROR((DL)/(Doses!E14*IFDres_adj*Fin*Fi),".")</f>
        <v>1.7121255395702197</v>
      </c>
      <c r="D16" s="3">
        <f>IFERROR((DL)/(Doses!L14*Fin*Fi*Fam*Foff*ETres*(1/24)*EFres*(1/365)*Isospec!Q15),".")</f>
        <v>4.4163037836228938</v>
      </c>
      <c r="E16" s="3">
        <f t="shared" si="30"/>
        <v>1.2338016969251235</v>
      </c>
      <c r="F16" s="2">
        <f t="shared" si="31"/>
        <v>6.33486449640982E-2</v>
      </c>
      <c r="G16" s="3">
        <f t="shared" si="32"/>
        <v>0.16340323999404724</v>
      </c>
      <c r="H16" s="5">
        <f t="shared" si="33"/>
        <v>4.5650662786229618E-2</v>
      </c>
      <c r="I16" s="2">
        <f>IFERROR(C16*Isospec!C15*Isospec!F15*SSLcm_m,".")</f>
        <v>8.2525721263712398E-14</v>
      </c>
      <c r="J16" s="3">
        <f>IFERROR(D16*Isospec!C15*Isospec!F15*SSLcm_m,".")</f>
        <v>2.1286911890504732E-13</v>
      </c>
      <c r="K16" s="5">
        <f>IFERROR(E16*Isospec!C15*Isospec!F15*SSLcm_m,".")</f>
        <v>5.9470157171241787E-14</v>
      </c>
      <c r="L16" s="67">
        <f t="shared" si="34"/>
        <v>273.90397671737742</v>
      </c>
    </row>
    <row r="17" spans="1:12">
      <c r="A17" s="87" t="s">
        <v>32</v>
      </c>
      <c r="B17" s="12" t="s">
        <v>59</v>
      </c>
      <c r="C17" s="2">
        <f>IFERROR((DL)/(Doses!E15*IFDres_adj*Fin*Fi),".")</f>
        <v>30.254427205256896</v>
      </c>
      <c r="D17" s="3">
        <f>IFERROR((DL)/(Doses!L15*Fin*Fi*Fam*Foff*ETres*(1/24)*EFres*(1/365)*Isospec!Q16),".")</f>
        <v>310.72565806054496</v>
      </c>
      <c r="E17" s="3">
        <f t="shared" ref="E17:E23" si="35">IFERROR(IF(AND(ISNUMBER(C17),ISNUMBER(D17)),(1/((1/C17)+(1/D17))),IF(AND(ISNUMBER(C17),NOT(ISNUMBER(D17))),(1/(1/C17)),IF(AND(NOT(ISNUMBER(C17)),ISNUMBER(D17)),(1/(1/D17)),"."))),".")</f>
        <v>27.570017161765158</v>
      </c>
      <c r="F17" s="2">
        <f t="shared" ref="F17:F23" si="36">IFERROR(C17/_1_bq,".")</f>
        <v>1.1194138065945063</v>
      </c>
      <c r="G17" s="3">
        <f t="shared" ref="G17:G23" si="37">IFERROR(D17/_1_bq,".")</f>
        <v>11.496849348240175</v>
      </c>
      <c r="H17" s="5">
        <f t="shared" ref="H17:H23" si="38">IFERROR(E17/_1_bq,".")</f>
        <v>1.0200906349853118</v>
      </c>
      <c r="I17" s="2">
        <f>IFERROR(C17*Isospec!C16*Isospec!F16*SSLcm_m,".")</f>
        <v>6.5746586500090858E-15</v>
      </c>
      <c r="J17" s="3">
        <f>IFERROR(D17*Isospec!C16*Isospec!F16*SSLcm_m,".")</f>
        <v>6.7524502172447616E-14</v>
      </c>
      <c r="K17" s="5">
        <f>IFERROR(E17*Isospec!C16*Isospec!F16*SSLcm_m,".")</f>
        <v>5.9913033746678426E-15</v>
      </c>
      <c r="L17" s="67">
        <f t="shared" ref="L17:L23" si="39">IF(E17&lt;&gt;".",E17*2.22*100,".")</f>
        <v>6120.5438099118655</v>
      </c>
    </row>
    <row r="18" spans="1:12">
      <c r="A18" s="87" t="s">
        <v>33</v>
      </c>
      <c r="B18" s="90" t="s">
        <v>59</v>
      </c>
      <c r="C18" s="2">
        <f>IFERROR((DL)/(Doses!E16*IFDres_adj*Fin*Fi),".")</f>
        <v>2.2156918747379315E-3</v>
      </c>
      <c r="D18" s="3">
        <f>IFERROR((DL)/(Doses!L16*Fin*Fi*Fam*Foff*ETres*(1/24)*EFres*(1/365)*Isospec!Q17),".")</f>
        <v>411.10293285337531</v>
      </c>
      <c r="E18" s="3">
        <f t="shared" si="35"/>
        <v>2.2156799330473416E-3</v>
      </c>
      <c r="F18" s="2">
        <f t="shared" si="36"/>
        <v>8.1980599365303548E-5</v>
      </c>
      <c r="G18" s="3">
        <f t="shared" si="37"/>
        <v>15.210808515574902</v>
      </c>
      <c r="H18" s="5">
        <f t="shared" si="38"/>
        <v>8.1980157522751717E-5</v>
      </c>
      <c r="I18" s="2">
        <f>IFERROR(C18*Isospec!C17*Isospec!F17*SSLcm_m,".")</f>
        <v>2.8922755456079062E-14</v>
      </c>
      <c r="J18" s="3">
        <f>IFERROR(D18*Isospec!C17*Isospec!F17*SSLcm_m,".")</f>
        <v>5.3663732442948201E-9</v>
      </c>
      <c r="K18" s="5">
        <f>IFERROR(E18*Isospec!C17*Isospec!F17*SSLcm_m,".")</f>
        <v>2.8922599574026777E-14</v>
      </c>
      <c r="L18" s="67">
        <f t="shared" si="39"/>
        <v>0.49188094513650987</v>
      </c>
    </row>
    <row r="19" spans="1:12">
      <c r="A19" s="87" t="s">
        <v>34</v>
      </c>
      <c r="B19" s="90" t="s">
        <v>59</v>
      </c>
      <c r="C19" s="2">
        <f>IFERROR((DL)/(Doses!E17*IFDres_adj*Fin*Fi),".")</f>
        <v>11.356812624284874</v>
      </c>
      <c r="D19" s="3">
        <f>IFERROR((DL)/(Doses!L17*Fin*Fi*Fam*Foff*ETres*(1/24)*EFres*(1/365)*Isospec!Q18),".")</f>
        <v>3.6711661081968088</v>
      </c>
      <c r="E19" s="3">
        <f t="shared" si="35"/>
        <v>2.7743415362507138</v>
      </c>
      <c r="F19" s="2">
        <f t="shared" si="36"/>
        <v>0.42020206709854074</v>
      </c>
      <c r="G19" s="3">
        <f t="shared" si="37"/>
        <v>0.13583314600328206</v>
      </c>
      <c r="H19" s="5">
        <f t="shared" si="38"/>
        <v>0.10265063684127651</v>
      </c>
      <c r="I19" s="2">
        <f>IFERROR(C19*Isospec!C18*Isospec!F18*SSLcm_m,".")</f>
        <v>3.4698260452023303E-16</v>
      </c>
      <c r="J19" s="3">
        <f>IFERROR(D19*Isospec!C18*Isospec!F18*SSLcm_m,".")</f>
        <v>1.1216446198334173E-16</v>
      </c>
      <c r="K19" s="5">
        <f>IFERROR(E19*Isospec!C18*Isospec!F18*SSLcm_m,".")</f>
        <v>8.4763946005277524E-17</v>
      </c>
      <c r="L19" s="67">
        <f t="shared" si="39"/>
        <v>615.90382104765854</v>
      </c>
    </row>
    <row r="20" spans="1:12">
      <c r="A20" s="87" t="s">
        <v>36</v>
      </c>
      <c r="B20" s="90" t="s">
        <v>59</v>
      </c>
      <c r="C20" s="2">
        <f>IFERROR((DL)/(Doses!E18*IFDres_adj*Fin*Fi),".")</f>
        <v>1.2914318355615371E-3</v>
      </c>
      <c r="D20" s="3">
        <f>IFERROR((DL)/(Doses!L18*Fin*Fi*Fam*Foff*ETres*(1/24)*EFres*(1/365)*Isospec!Q19),".")</f>
        <v>96756.330183495069</v>
      </c>
      <c r="E20" s="3">
        <f t="shared" si="35"/>
        <v>1.2914318183244616E-3</v>
      </c>
      <c r="F20" s="2">
        <f t="shared" si="36"/>
        <v>4.7782977915776918E-5</v>
      </c>
      <c r="G20" s="3">
        <f t="shared" si="37"/>
        <v>3579.9842167893212</v>
      </c>
      <c r="H20" s="5">
        <f t="shared" si="38"/>
        <v>4.7782977278005128E-5</v>
      </c>
      <c r="I20" s="2">
        <f>IFERROR(C20*Isospec!C19*Isospec!F19*SSLcm_m,".")</f>
        <v>2.8788346560675367E-16</v>
      </c>
      <c r="J20" s="3">
        <f>IFERROR(D20*Isospec!C19*Isospec!F19*SSLcm_m,".")</f>
        <v>2.1568732383389221E-8</v>
      </c>
      <c r="K20" s="5">
        <f>IFERROR(E20*Isospec!C19*Isospec!F19*SSLcm_m,".")</f>
        <v>2.8788346176429838E-16</v>
      </c>
      <c r="L20" s="67">
        <f t="shared" si="39"/>
        <v>0.28669786366803052</v>
      </c>
    </row>
    <row r="21" spans="1:12">
      <c r="A21" s="87" t="s">
        <v>37</v>
      </c>
      <c r="B21" s="12" t="s">
        <v>59</v>
      </c>
      <c r="C21" s="2" t="str">
        <f>IFERROR((DL)/(Doses!E19*IFDres_adj*Fin*Fi),".")</f>
        <v>.</v>
      </c>
      <c r="D21" s="3">
        <f>IFERROR((DL)/(Doses!L19*Fin*Fi*Fam*Foff*ETres*(1/24)*EFres*(1/365)*Isospec!Q20),".")</f>
        <v>24988.609644028704</v>
      </c>
      <c r="E21" s="3">
        <f t="shared" si="35"/>
        <v>24988.609644028704</v>
      </c>
      <c r="F21" s="2" t="str">
        <f t="shared" si="36"/>
        <v>.</v>
      </c>
      <c r="G21" s="3">
        <f t="shared" si="37"/>
        <v>924.57855682906302</v>
      </c>
      <c r="H21" s="5">
        <f t="shared" si="38"/>
        <v>924.57855682906302</v>
      </c>
      <c r="I21" s="2" t="str">
        <f>IFERROR(C21*Isospec!C20*Isospec!F20*SSLcm_m,".")</f>
        <v>.</v>
      </c>
      <c r="J21" s="3">
        <f>IFERROR(D21*Isospec!C20*Isospec!F20*SSLcm_m,".")</f>
        <v>1.9848258664743159E-21</v>
      </c>
      <c r="K21" s="5">
        <f>IFERROR(E21*Isospec!C20*Isospec!F20*SSLcm_m,".")</f>
        <v>1.9848258664743159E-21</v>
      </c>
      <c r="L21" s="67">
        <f t="shared" si="39"/>
        <v>5547471.3409743728</v>
      </c>
    </row>
    <row r="22" spans="1:12">
      <c r="A22" s="87" t="s">
        <v>38</v>
      </c>
      <c r="B22" s="90" t="s">
        <v>59</v>
      </c>
      <c r="C22" s="2" t="str">
        <f>IFERROR((DL)/(Doses!E20*IFDres_adj*Fin*Fi),".")</f>
        <v>.</v>
      </c>
      <c r="D22" s="3">
        <f>IFERROR((DL)/(Doses!L20*Fin*Fi*Fam*Foff*ETres*(1/24)*EFres*(1/365)*Isospec!Q21),".")</f>
        <v>11335.366763555587</v>
      </c>
      <c r="E22" s="3">
        <f t="shared" si="35"/>
        <v>11335.366763555587</v>
      </c>
      <c r="F22" s="2" t="str">
        <f t="shared" si="36"/>
        <v>.</v>
      </c>
      <c r="G22" s="3">
        <f t="shared" si="37"/>
        <v>419.40857025155714</v>
      </c>
      <c r="H22" s="5">
        <f t="shared" si="38"/>
        <v>419.40857025155714</v>
      </c>
      <c r="I22" s="2" t="str">
        <f>IFERROR(C22*Isospec!C21*Isospec!F21*SSLcm_m,".")</f>
        <v>.</v>
      </c>
      <c r="J22" s="3">
        <f>IFERROR(D22*Isospec!C21*Isospec!F21*SSLcm_m,".")</f>
        <v>3.5386559327241987E-20</v>
      </c>
      <c r="K22" s="5">
        <f>IFERROR(E22*Isospec!C21*Isospec!F21*SSLcm_m,".")</f>
        <v>3.5386559327241987E-20</v>
      </c>
      <c r="L22" s="67">
        <f t="shared" si="39"/>
        <v>2516451.4215093404</v>
      </c>
    </row>
    <row r="23" spans="1:12">
      <c r="A23" s="87" t="s">
        <v>39</v>
      </c>
      <c r="B23" s="90" t="s">
        <v>59</v>
      </c>
      <c r="C23" s="2" t="str">
        <f>IFERROR((DL)/(Doses!E21*IFDres_adj*Fin*Fi),".")</f>
        <v>.</v>
      </c>
      <c r="D23" s="3">
        <f>IFERROR((DL)/(Doses!L21*Fin*Fi*Fam*Foff*ETres*(1/24)*EFres*(1/365)*Isospec!Q22),".")</f>
        <v>149054864.54332906</v>
      </c>
      <c r="E23" s="3">
        <f t="shared" si="35"/>
        <v>149054864.54332906</v>
      </c>
      <c r="F23" s="2" t="str">
        <f t="shared" si="36"/>
        <v>.</v>
      </c>
      <c r="G23" s="3">
        <f t="shared" si="37"/>
        <v>5515029.9881031811</v>
      </c>
      <c r="H23" s="5">
        <f t="shared" si="38"/>
        <v>5515029.9881031811</v>
      </c>
      <c r="I23" s="2" t="str">
        <f>IFERROR(C23*Isospec!C22*Isospec!F22*SSLcm_m,".")</f>
        <v>.</v>
      </c>
      <c r="J23" s="3">
        <f>IFERROR(D23*Isospec!C22*Isospec!F22*SSLcm_m,".")</f>
        <v>5.3662019954997778E-10</v>
      </c>
      <c r="K23" s="5">
        <f>IFERROR(E23*Isospec!C22*Isospec!F22*SSLcm_m,".")</f>
        <v>5.3662019954997778E-10</v>
      </c>
      <c r="L23" s="67">
        <f t="shared" si="39"/>
        <v>33090179928.619057</v>
      </c>
    </row>
    <row r="24" spans="1:12">
      <c r="A24" s="87" t="s">
        <v>26</v>
      </c>
      <c r="B24" s="12" t="s">
        <v>59</v>
      </c>
      <c r="C24" s="2">
        <f>IFERROR((DL)/(Doses!E22*IFDres_adj*Fin*Fi),".")</f>
        <v>9.4958223203054203E-3</v>
      </c>
      <c r="D24" s="3">
        <f>IFERROR((DL)/(Doses!L22*Fin*Fi*Fam*Foff*ETres*(1/24)*EFres*(1/365)*Isospec!Q23),".")</f>
        <v>81.099396753802239</v>
      </c>
      <c r="E24" s="3">
        <f t="shared" ref="E24:E25" si="40">IFERROR(IF(AND(ISNUMBER(C24),ISNUMBER(D24)),(1/((1/C24)+(1/D24))),IF(AND(ISNUMBER(C24),NOT(ISNUMBER(D24))),(1/(1/C24)),IF(AND(NOT(ISNUMBER(C24)),ISNUMBER(D24)),(1/(1/D24)),"."))),".")</f>
        <v>9.4947105970568969E-3</v>
      </c>
      <c r="F24" s="2">
        <f t="shared" ref="F24:F25" si="41">IFERROR(C24/_1_bq,".")</f>
        <v>3.5134542585130092E-4</v>
      </c>
      <c r="G24" s="3">
        <f t="shared" ref="G24:G25" si="42">IFERROR(D24/_1_bq,".")</f>
        <v>3.000677679890686</v>
      </c>
      <c r="H24" s="5">
        <f t="shared" ref="H24:H25" si="43">IFERROR(E24/_1_bq,".")</f>
        <v>3.5130429209110552E-4</v>
      </c>
      <c r="I24" s="2">
        <f>IFERROR(C24*Isospec!C23*Isospec!F23*SSLcm_m,".")</f>
        <v>2.4421173731700435E-16</v>
      </c>
      <c r="J24" s="3">
        <f>IFERROR(D24*Isospec!C23*Isospec!F23*SSLcm_m,".")</f>
        <v>2.0856987324053106E-12</v>
      </c>
      <c r="K24" s="5">
        <f>IFERROR(E24*Isospec!C23*Isospec!F23*SSLcm_m,".")</f>
        <v>2.44183146231706E-16</v>
      </c>
      <c r="L24" s="67">
        <f t="shared" ref="L24:L25" si="44">IF(E24&lt;&gt;".",E24*2.22*100,".")</f>
        <v>2.1078257525466313</v>
      </c>
    </row>
    <row r="25" spans="1:12">
      <c r="A25" s="88" t="s">
        <v>27</v>
      </c>
      <c r="B25" s="90" t="s">
        <v>44</v>
      </c>
      <c r="C25" s="2">
        <f>IFERROR((DL)/(Doses!E23*IFDres_adj*Fin*Fi),".")</f>
        <v>4.9889750821913688E-3</v>
      </c>
      <c r="D25" s="3">
        <f>IFERROR((DL)/(Doses!L23*Fin*Fi*Fam*Foff*ETres*(1/24)*EFres*(1/365)*Isospec!Q24),".")</f>
        <v>133.54691082212943</v>
      </c>
      <c r="E25" s="3">
        <f t="shared" si="40"/>
        <v>4.988788713652932E-3</v>
      </c>
      <c r="F25" s="2">
        <f t="shared" si="41"/>
        <v>1.8459207804108084E-4</v>
      </c>
      <c r="G25" s="3">
        <f t="shared" si="42"/>
        <v>4.9412357004187939</v>
      </c>
      <c r="H25" s="5">
        <f t="shared" si="43"/>
        <v>1.8458518240515868E-4</v>
      </c>
      <c r="I25" s="2">
        <f>IFERROR(C25*Isospec!C24*Isospec!F24*SSLcm_m,".")</f>
        <v>5.0512374912171174E-12</v>
      </c>
      <c r="J25" s="3">
        <f>IFERROR(D25*Isospec!C24*Isospec!F24*SSLcm_m,".")</f>
        <v>1.3521357626918959E-7</v>
      </c>
      <c r="K25" s="5">
        <f>IFERROR(E25*Isospec!C24*Isospec!F24*SSLcm_m,".")</f>
        <v>5.0510487967993208E-12</v>
      </c>
      <c r="L25" s="67">
        <f t="shared" si="44"/>
        <v>1.107511094430951</v>
      </c>
    </row>
    <row r="26" spans="1:12">
      <c r="A26" s="87" t="s">
        <v>30</v>
      </c>
      <c r="B26" s="90" t="s">
        <v>59</v>
      </c>
      <c r="C26" s="2" t="str">
        <f>IFERROR((DL)/(Doses!E24*IFDres_adj*Fin*Fi),".")</f>
        <v>.</v>
      </c>
      <c r="D26" s="3">
        <f>IFERROR((DL)/(Doses!L24*Fin*Fi*Fam*Foff*ETres*(1/24)*EFres*(1/365)*Isospec!Q25),".")</f>
        <v>1232.1731550992051</v>
      </c>
      <c r="E26" s="3">
        <f t="shared" ref="E26:E27" si="45">IFERROR(IF(AND(ISNUMBER(C26),ISNUMBER(D26)),(1/((1/C26)+(1/D26))),IF(AND(ISNUMBER(C26),NOT(ISNUMBER(D26))),(1/(1/C26)),IF(AND(NOT(ISNUMBER(C26)),ISNUMBER(D26)),(1/(1/D26)),"."))),".")</f>
        <v>1232.1731550992051</v>
      </c>
      <c r="F26" s="2" t="str">
        <f t="shared" ref="F26:F27" si="46">IFERROR(C26/_1_bq,".")</f>
        <v>.</v>
      </c>
      <c r="G26" s="3">
        <f t="shared" ref="G26:G27" si="47">IFERROR(D26/_1_bq,".")</f>
        <v>45.590406738670637</v>
      </c>
      <c r="H26" s="5">
        <f t="shared" ref="H26:H27" si="48">IFERROR(E26/_1_bq,".")</f>
        <v>45.590406738670637</v>
      </c>
      <c r="I26" s="2" t="str">
        <f>IFERROR(C26*Isospec!C25*Isospec!F25*SSLcm_m,".")</f>
        <v>.</v>
      </c>
      <c r="J26" s="3">
        <f>IFERROR(D26*Isospec!C25*Isospec!F25*SSLcm_m,".")</f>
        <v>8.3473323457446597E-19</v>
      </c>
      <c r="K26" s="5">
        <f>IFERROR(E26*Isospec!C25*Isospec!F25*SSLcm_m,".")</f>
        <v>8.3473323457446597E-19</v>
      </c>
      <c r="L26" s="67">
        <f t="shared" ref="L26:L27" si="49">IF(E26&lt;&gt;".",E26*2.22*100,".")</f>
        <v>273542.44043202355</v>
      </c>
    </row>
    <row r="27" spans="1:12">
      <c r="A27" s="88" t="s">
        <v>31</v>
      </c>
      <c r="B27" s="90" t="s">
        <v>44</v>
      </c>
      <c r="C27" s="2" t="str">
        <f>IFERROR((DL)/(Doses!E25*IFDres_adj*Fin*Fi),".")</f>
        <v>.</v>
      </c>
      <c r="D27" s="3">
        <f>IFERROR((DL)/(Doses!L25*Fin*Fi*Fam*Foff*ETres*(1/24)*EFres*(1/365)*Isospec!Q26),".")</f>
        <v>2398.1004416446895</v>
      </c>
      <c r="E27" s="3">
        <f t="shared" si="45"/>
        <v>2398.1004416446895</v>
      </c>
      <c r="F27" s="2" t="str">
        <f t="shared" si="46"/>
        <v>.</v>
      </c>
      <c r="G27" s="3">
        <f t="shared" si="47"/>
        <v>88.729716340853599</v>
      </c>
      <c r="H27" s="5">
        <f t="shared" si="48"/>
        <v>88.729716340853599</v>
      </c>
      <c r="I27" s="2" t="str">
        <f>IFERROR(C27*Isospec!C26*Isospec!F26*SSLcm_m,".")</f>
        <v>.</v>
      </c>
      <c r="J27" s="3">
        <f>IFERROR(D27*Isospec!C26*Isospec!F26*SSLcm_m,".")</f>
        <v>1.5615165981400622E-11</v>
      </c>
      <c r="K27" s="5">
        <f>IFERROR(E27*Isospec!C26*Isospec!F26*SSLcm_m,".")</f>
        <v>1.5615165981400622E-11</v>
      </c>
      <c r="L27" s="67">
        <f t="shared" si="49"/>
        <v>532378.29804512113</v>
      </c>
    </row>
    <row r="28" spans="1:12">
      <c r="A28" s="87" t="s">
        <v>35</v>
      </c>
      <c r="B28" s="12" t="s">
        <v>59</v>
      </c>
      <c r="C28" s="2">
        <f>IFERROR((DL)/(Doses!E26*IFDres_adj*Fin*Fi),".")</f>
        <v>3.7110110217285545E-3</v>
      </c>
      <c r="D28" s="3">
        <f>IFERROR((DL)/(Doses!L26*Fin*Fi*Fam*Foff*ETres*(1/24)*EFres*(1/365)*Isospec!Q27),".")</f>
        <v>11.510882119894511</v>
      </c>
      <c r="E28" s="3">
        <f t="shared" ref="E28:E31" si="50">IFERROR(IF(AND(ISNUMBER(C28),ISNUMBER(D28)),(1/((1/C28)+(1/D28))),IF(AND(ISNUMBER(C28),NOT(ISNUMBER(D28))),(1/(1/C28)),IF(AND(NOT(ISNUMBER(C28)),ISNUMBER(D28)),(1/(1/D28)),"."))),".")</f>
        <v>3.7098150087520806E-3</v>
      </c>
      <c r="F28" s="2">
        <f t="shared" ref="F28:F31" si="51">IFERROR(C28/_1_bq,".")</f>
        <v>1.3730740780395665E-4</v>
      </c>
      <c r="G28" s="3">
        <f t="shared" ref="G28:G31" si="52">IFERROR(D28/_1_bq,".")</f>
        <v>0.42590263843609732</v>
      </c>
      <c r="H28" s="5">
        <f t="shared" ref="H28:H31" si="53">IFERROR(E28/_1_bq,".")</f>
        <v>1.3726315532382711E-4</v>
      </c>
      <c r="I28" s="2">
        <f>IFERROR(C28*Isospec!C27*Isospec!F27*SSLcm_m,".")</f>
        <v>1.7465531960751445E-11</v>
      </c>
      <c r="J28" s="3">
        <f>IFERROR(D28*Isospec!C27*Isospec!F27*SSLcm_m,".")</f>
        <v>5.4174907696128483E-8</v>
      </c>
      <c r="K28" s="5">
        <f>IFERROR(E28*Isospec!C27*Isospec!F27*SSLcm_m,".")</f>
        <v>1.7459903035710863E-11</v>
      </c>
      <c r="L28" s="67">
        <f t="shared" ref="L28:L31" si="54">IF(E28&lt;&gt;".",E28*2.22*100,".")</f>
        <v>0.82357893194296206</v>
      </c>
    </row>
    <row r="29" spans="1:12">
      <c r="A29" s="87" t="s">
        <v>40</v>
      </c>
      <c r="B29" s="90" t="s">
        <v>59</v>
      </c>
      <c r="C29" s="2" t="str">
        <f>IFERROR((DL)/(Doses!E27*IFDres_adj*Fin*Fi),".")</f>
        <v>.</v>
      </c>
      <c r="D29" s="3">
        <f>IFERROR((DL)/(Doses!L27*Fin*Fi*Fam*Foff*ETres*(1/24)*EFres*(1/365)*Isospec!Q28),".")</f>
        <v>14.576688959016742</v>
      </c>
      <c r="E29" s="3">
        <f t="shared" si="50"/>
        <v>14.576688959016742</v>
      </c>
      <c r="F29" s="2" t="str">
        <f t="shared" si="51"/>
        <v>.</v>
      </c>
      <c r="G29" s="3">
        <f t="shared" si="52"/>
        <v>0.53933749148361998</v>
      </c>
      <c r="H29" s="5">
        <f t="shared" si="53"/>
        <v>0.53933749148361998</v>
      </c>
      <c r="I29" s="2" t="str">
        <f>IFERROR(C29*Isospec!C28*Isospec!F28*SSLcm_m,".")</f>
        <v>.</v>
      </c>
      <c r="J29" s="3">
        <f>IFERROR(D29*Isospec!C28*Isospec!F28*SSLcm_m,".")</f>
        <v>6.7185889658591515E-17</v>
      </c>
      <c r="K29" s="5">
        <f>IFERROR(E29*Isospec!C28*Isospec!F28*SSLcm_m,".")</f>
        <v>6.7185889658591515E-17</v>
      </c>
      <c r="L29" s="67">
        <f t="shared" si="54"/>
        <v>3236.0249489017169</v>
      </c>
    </row>
    <row r="30" spans="1:12">
      <c r="A30" s="87" t="s">
        <v>41</v>
      </c>
      <c r="B30" s="12" t="s">
        <v>59</v>
      </c>
      <c r="C30" s="2" t="str">
        <f>IFERROR((DL)/(Doses!E28*IFDres_adj*Fin*Fi),".")</f>
        <v>.</v>
      </c>
      <c r="D30" s="3">
        <f>IFERROR((DL)/(Doses!L28*Fin*Fi*Fam*Foff*ETres*(1/24)*EFres*(1/365)*Isospec!Q29),".")</f>
        <v>0.44163037836228941</v>
      </c>
      <c r="E30" s="3">
        <f t="shared" si="50"/>
        <v>0.44163037836228941</v>
      </c>
      <c r="F30" s="2" t="str">
        <f t="shared" si="51"/>
        <v>.</v>
      </c>
      <c r="G30" s="3">
        <f t="shared" si="52"/>
        <v>1.6340323999404726E-2</v>
      </c>
      <c r="H30" s="5">
        <f t="shared" si="53"/>
        <v>1.6340323999404726E-2</v>
      </c>
      <c r="I30" s="2" t="str">
        <f>IFERROR(C30*Isospec!C29*Isospec!F29*SSLcm_m,".")</f>
        <v>.</v>
      </c>
      <c r="J30" s="3">
        <f>IFERROR(D30*Isospec!C29*Isospec!F29*SSLcm_m,".")</f>
        <v>1.0625825200141872E-18</v>
      </c>
      <c r="K30" s="5">
        <f>IFERROR(E30*Isospec!C29*Isospec!F29*SSLcm_m,".")</f>
        <v>1.0625825200141872E-18</v>
      </c>
      <c r="L30" s="67">
        <f t="shared" si="54"/>
        <v>98.041943996428259</v>
      </c>
    </row>
    <row r="31" spans="1:12">
      <c r="A31" s="87" t="s">
        <v>42</v>
      </c>
      <c r="B31" s="90" t="s">
        <v>59</v>
      </c>
      <c r="C31" s="2" t="str">
        <f>IFERROR((DL)/(Doses!E29*IFDres_adj*Fin*Fi),".")</f>
        <v>.</v>
      </c>
      <c r="D31" s="3">
        <f>IFERROR((DL)/(Doses!L29*Fin*Fi*Fam*Foff*ETres*(1/24)*EFres*(1/365)*Isospec!Q30),".")</f>
        <v>0.33791415314084261</v>
      </c>
      <c r="E31" s="3">
        <f t="shared" si="50"/>
        <v>0.33791415314084261</v>
      </c>
      <c r="F31" s="2" t="str">
        <f t="shared" si="51"/>
        <v>.</v>
      </c>
      <c r="G31" s="3">
        <f t="shared" si="52"/>
        <v>1.250282366621119E-2</v>
      </c>
      <c r="H31" s="5">
        <f t="shared" si="53"/>
        <v>1.250282366621119E-2</v>
      </c>
      <c r="I31" s="2" t="str">
        <f>IFERROR(C31*Isospec!C30*Isospec!F30*SSLcm_m,".")</f>
        <v>.</v>
      </c>
      <c r="J31" s="3">
        <f>IFERROR(D31*Isospec!C30*Isospec!F30*SSLcm_m,".")</f>
        <v>4.9144135970482528E-19</v>
      </c>
      <c r="K31" s="5">
        <f>IFERROR(E31*Isospec!C30*Isospec!F30*SSLcm_m,".")</f>
        <v>4.9144135970482528E-19</v>
      </c>
      <c r="L31" s="67">
        <f t="shared" si="54"/>
        <v>75.016941997267068</v>
      </c>
    </row>
    <row r="32" spans="1:12">
      <c r="A32" s="87" t="s">
        <v>25</v>
      </c>
      <c r="B32" s="12" t="s">
        <v>59</v>
      </c>
      <c r="C32" s="2">
        <f>IFERROR((DL)/(Doses!E30*IFDres_adj*Fin*Fi),".")</f>
        <v>3.7541623126788867E-2</v>
      </c>
      <c r="D32" s="3">
        <f>IFERROR((DL)/(Doses!L30*Fin*Fi*Fam*Foff*ETres*(1/24)*EFres*(1/365)*Isospec!Q31),".")</f>
        <v>1874.1457233021526</v>
      </c>
      <c r="E32" s="3">
        <f t="shared" ref="E32" si="55">IFERROR(IF(AND(ISNUMBER(C32),ISNUMBER(D32)),(1/((1/C32)+(1/D32))),IF(AND(ISNUMBER(C32),NOT(ISNUMBER(D32))),(1/(1/C32)),IF(AND(NOT(ISNUMBER(C32)),ISNUMBER(D32)),(1/(1/D32)),"."))),".")</f>
        <v>3.7540871133377458E-2</v>
      </c>
      <c r="F32" s="2">
        <f t="shared" ref="F32" si="56">IFERROR(C32/_1_bq,".")</f>
        <v>1.3890400556911895E-3</v>
      </c>
      <c r="G32" s="3">
        <f t="shared" ref="G32" si="57">IFERROR(D32/_1_bq,".")</f>
        <v>69.343391762179721</v>
      </c>
      <c r="H32" s="5">
        <f t="shared" ref="H32" si="58">IFERROR(E32/_1_bq,".")</f>
        <v>1.3890122319349673E-3</v>
      </c>
      <c r="I32" s="2">
        <f>IFERROR(C32*Isospec!C31*Isospec!F31*SSLcm_m,".")</f>
        <v>3.8991510645243958E-9</v>
      </c>
      <c r="J32" s="3">
        <f>IFERROR(D32*Isospec!C31*Isospec!F31*SSLcm_m,".")</f>
        <v>1.9465267304526608E-4</v>
      </c>
      <c r="K32" s="5">
        <f>IFERROR(E32*Isospec!C31*Isospec!F31*SSLcm_m,".")</f>
        <v>3.8990729609245404E-9</v>
      </c>
      <c r="L32" s="67">
        <f t="shared" ref="L32" si="59">IF(E32&lt;&gt;".",E32*2.22*100,".")</f>
        <v>8.3340733916097953</v>
      </c>
    </row>
    <row r="33" spans="1:12">
      <c r="A33" s="30" t="s">
        <v>14</v>
      </c>
      <c r="B33" s="30" t="s">
        <v>59</v>
      </c>
      <c r="C33" s="76">
        <f>IFERROR(1/SUM(1/C34,1/C35,1/C36,1/C37,1/C38,1/C39,1/C40,1/C43,1/C46),0)</f>
        <v>1.7067432743882607E-3</v>
      </c>
      <c r="D33" s="77">
        <f>IFERROR(1/SUM(1/D34,1/D35,1/D36,1/D37,1/D38,1/D39,1/D40,1/D41,1/D42,1/D43,1/D44,1/D45,1/D46),0)</f>
        <v>1.5207816862691088</v>
      </c>
      <c r="E33" s="78">
        <f>IFERROR(1/SUM(1/E34,1/E35,1/E36,1/E37,1/E38,1/E39,1/E40,1/E41,1/E42,1/E43,1/E44,1/E45,1/E46),0)</f>
        <v>1.7048299773489244E-3</v>
      </c>
      <c r="F33" s="76">
        <f>IFERROR(1/SUM(1/F34,1/F35,1/F36,1/F37,1/F38,1/F39,1/F40,1/F43,1/F46),0)</f>
        <v>6.3149501152365701E-5</v>
      </c>
      <c r="G33" s="77">
        <f>IFERROR(1/SUM(1/G34,1/G35,1/G36,1/G37,1/G38,1/G39,1/G40,1/G41,1/G42,1/G43,1/G44,1/G45,1/G46),0)</f>
        <v>5.6268922391957077E-2</v>
      </c>
      <c r="H33" s="78">
        <f>IFERROR(1/SUM(1/H34,1/H35,1/H36,1/H37,1/H38,1/H39,1/H40,1/H41,1/H42,1/H43,1/H44,1/H45,1/H46),0)</f>
        <v>6.3078709161910274E-5</v>
      </c>
      <c r="I33" s="20">
        <f>IFERROR(C33*Isospec!$C$4*Isospec!$F$4*SSLcm_m,".")</f>
        <v>4.977692182650211E-13</v>
      </c>
      <c r="J33" s="19">
        <f>IFERROR(D33*Isospec!$C$4*Isospec!$F$4*SSLcm_m,".")</f>
        <v>4.4353378887475741E-10</v>
      </c>
      <c r="K33" s="19">
        <f>IFERROR(E33*Isospec!$C$4*Isospec!$F$4*SSLcm_m,".")</f>
        <v>4.9721120793864646E-13</v>
      </c>
      <c r="L33" s="94">
        <f>IF(E33&lt;&gt;".",E33*2.22*100,".")</f>
        <v>0.37847225497146125</v>
      </c>
    </row>
    <row r="34" spans="1:12">
      <c r="A34" s="31" t="s">
        <v>175</v>
      </c>
      <c r="B34" s="32">
        <v>1</v>
      </c>
      <c r="C34" s="70">
        <f>IFERROR(VLOOKUP("Am-241",$A$4:$L$32,3)/$B34,0)</f>
        <v>9.4958223203054203E-3</v>
      </c>
      <c r="D34" s="71">
        <f>IFERROR(VLOOKUP("Am-241",$A$4:$L$32,4)/$B34,0)</f>
        <v>40.921713958340582</v>
      </c>
      <c r="E34" s="72">
        <f>IFERROR(IF(AND(C34&lt;&gt;0,D34&lt;&gt;0),(1/((1/C34)+(1/D34))),IF(AND(C34&lt;&gt;0,D34=0),(1/(1/C34)),IF(AND(C34=0,D34&lt;&gt;0),(1/(1/D34)),0))),0)</f>
        <v>9.493619340182868E-3</v>
      </c>
      <c r="F34" s="70">
        <f>IFERROR(VLOOKUP("Am-241",$A$4:$L$32,6)/$B34,0)</f>
        <v>3.5134542585130092E-4</v>
      </c>
      <c r="G34" s="71">
        <f>IFERROR(VLOOKUP("Am-241",$A$4:$L$32,7)/$B34,0)</f>
        <v>1.5141034164586031</v>
      </c>
      <c r="H34" s="72">
        <f>IFERROR(IF(AND(F34&lt;&gt;0,G34&lt;&gt;0),(1/((1/F34)+(1/G34))),IF(AND(F34&lt;&gt;0,G34=0),(1/(1/F34)),IF(AND(F34=0,G34&lt;&gt;0),(1/(1/G34)),0))),0)</f>
        <v>3.5126391558676649E-4</v>
      </c>
      <c r="I34" s="70">
        <f>IFERROR(VLOOKUP("Am-241",$A$4:$L$32,9)/$B34,0)</f>
        <v>2.7694429057329344E-12</v>
      </c>
      <c r="J34" s="71">
        <f>IFERROR(VLOOKUP("Am-241",$A$4:$L$32,10)/$B34,0)</f>
        <v>1.1934758948681931E-8</v>
      </c>
      <c r="K34" s="71">
        <f>IFERROR(VLOOKUP("Am-241",$A$4:$L$32,11)/$B34,0)</f>
        <v>2.7688004097524836E-12</v>
      </c>
      <c r="L34" s="95">
        <f t="shared" ref="L34:L65" si="60">IF(E34&lt;&gt;".",E34*2.22*100,".")</f>
        <v>2.1075834935205968</v>
      </c>
    </row>
    <row r="35" spans="1:12">
      <c r="A35" s="31" t="s">
        <v>176</v>
      </c>
      <c r="B35" s="32">
        <v>1</v>
      </c>
      <c r="C35" s="70">
        <f>IFERROR(VLOOKUP("Np-237",$A$4:$L$32,3)/$B35,0)</f>
        <v>1.8080045697861521E-2</v>
      </c>
      <c r="D35" s="71">
        <f>IFERROR(VLOOKUP("Np-237",$A$4:$L$32,4)/$B35,0)</f>
        <v>36.561203454582973</v>
      </c>
      <c r="E35" s="72">
        <f t="shared" ref="E35:E46" si="61">IFERROR(IF(AND(C35&lt;&gt;0,D35&lt;&gt;0),(1/((1/C35)+(1/D35))),IF(AND(C35&lt;&gt;0,D35=0),(1/(1/C35)),IF(AND(C35=0,D35&lt;&gt;0),(1/(1/D35)),0))),0)</f>
        <v>1.8071109272071929E-2</v>
      </c>
      <c r="F35" s="70">
        <f>IFERROR(VLOOKUP("Np-237",$A$4:$L$32,6)/$B35,0)</f>
        <v>6.6896169082087699E-4</v>
      </c>
      <c r="G35" s="71">
        <f>IFERROR(VLOOKUP("Np-237",$A$4:$L$32,7)/$B35,0)</f>
        <v>1.3527645278195715</v>
      </c>
      <c r="H35" s="72">
        <f t="shared" ref="H35" si="62">IFERROR(IF(AND(F35&lt;&gt;0,G35&lt;&gt;0),(1/((1/F35)+(1/G35))),IF(AND(F35&lt;&gt;0,G35=0),(1/(1/F35)),IF(AND(F35=0,G35&lt;&gt;0),(1/(1/G35)),0))),0)</f>
        <v>6.6863104306666204E-4</v>
      </c>
      <c r="I35" s="70">
        <f>IFERROR(VLOOKUP("Np-237",$A$4:$L$32,9)/$B35,0)</f>
        <v>2.5723536889016341E-8</v>
      </c>
      <c r="J35" s="71">
        <f>IFERROR(VLOOKUP("Np-237",$A$4:$L$32,10)/$B35,0)</f>
        <v>5.2017759329116945E-5</v>
      </c>
      <c r="K35" s="71">
        <f>IFERROR(VLOOKUP("Np-237",$A$4:$L$32,11)/$B35,0)</f>
        <v>2.5710822514158221E-8</v>
      </c>
      <c r="L35" s="95">
        <f t="shared" si="60"/>
        <v>4.0117862583999688</v>
      </c>
    </row>
    <row r="36" spans="1:12">
      <c r="A36" s="31" t="s">
        <v>177</v>
      </c>
      <c r="B36" s="32">
        <v>1</v>
      </c>
      <c r="C36" s="70">
        <f>IFERROR(VLOOKUP("Pa-233",$A$4:$L$32,3)/$B36,0)</f>
        <v>1.7121255395702197</v>
      </c>
      <c r="D36" s="71">
        <f>IFERROR(VLOOKUP("Pa-233",$A$4:$L$32,4)/$B36,0)</f>
        <v>4.4163037836228938</v>
      </c>
      <c r="E36" s="72">
        <f>IFERROR(IF(AND(C36&lt;&gt;0,D36&lt;&gt;0),(1/((1/C36)+(1/D36))),IF(AND(C36&lt;&gt;0,D36=0),(1/(1/C36)),IF(AND(C36=0,D36&lt;&gt;0),(1/(1/D36)),0))),0)</f>
        <v>1.2338016969251235</v>
      </c>
      <c r="F36" s="70">
        <f>IFERROR(VLOOKUP("Pa-233",$A$4:$L$32,6)/$B36,0)</f>
        <v>6.33486449640982E-2</v>
      </c>
      <c r="G36" s="71">
        <f>IFERROR(VLOOKUP("Pa-233",$A$4:$L$32,7)/$B36,0)</f>
        <v>0.16340323999404724</v>
      </c>
      <c r="H36" s="72">
        <f>IFERROR(IF(AND(F36&lt;&gt;0,G36&lt;&gt;0),(1/((1/F36)+(1/G36))),IF(AND(F36&lt;&gt;0,G36=0),(1/(1/F36)),IF(AND(F36=0,G36&lt;&gt;0),(1/(1/G36)),0))),0)</f>
        <v>4.5650662786229625E-2</v>
      </c>
      <c r="I36" s="70">
        <f>IFERROR(VLOOKUP("Pa-233",$A$4:$L$32,9)/$B36,0)</f>
        <v>8.2525721263712398E-14</v>
      </c>
      <c r="J36" s="71">
        <f>IFERROR(VLOOKUP("Pa-233",$A$4:$L$32,10)/$B36,0)</f>
        <v>2.1286911890504732E-13</v>
      </c>
      <c r="K36" s="71">
        <f>IFERROR(VLOOKUP("Pa-233",$A$4:$L$32,11)/$B36,0)</f>
        <v>5.9470157171241787E-14</v>
      </c>
      <c r="L36" s="95">
        <f t="shared" si="60"/>
        <v>273.90397671737742</v>
      </c>
    </row>
    <row r="37" spans="1:12">
      <c r="A37" s="31" t="s">
        <v>178</v>
      </c>
      <c r="B37" s="32">
        <v>1</v>
      </c>
      <c r="C37" s="70">
        <f>IFERROR(VLOOKUP("U-233",$A$4:$L$32,3)/$B37,0)</f>
        <v>3.7541623126788867E-2</v>
      </c>
      <c r="D37" s="71">
        <f>IFERROR(VLOOKUP("U-233",$A$4:$L$32,4)/$B37,0)</f>
        <v>1874.1457233021526</v>
      </c>
      <c r="E37" s="72">
        <f t="shared" si="61"/>
        <v>3.7540871133377458E-2</v>
      </c>
      <c r="F37" s="70">
        <f>IFERROR(VLOOKUP("U-233",$A$4:$L$32,6)/$B37,0)</f>
        <v>1.3890400556911895E-3</v>
      </c>
      <c r="G37" s="71">
        <f>IFERROR(VLOOKUP("U-233",$A$4:$L$32,7)/$B37,0)</f>
        <v>69.343391762179721</v>
      </c>
      <c r="H37" s="72">
        <f t="shared" ref="H37:H46" si="63">IFERROR(IF(AND(F37&lt;&gt;0,G37&lt;&gt;0),(1/((1/F37)+(1/G37))),IF(AND(F37&lt;&gt;0,G37=0),(1/(1/F37)),IF(AND(F37=0,G37&lt;&gt;0),(1/(1/G37)),0))),0)</f>
        <v>1.3890122319349676E-3</v>
      </c>
      <c r="I37" s="70">
        <f>IFERROR(VLOOKUP("U-233",$A$4:$L$32,9)/$B37,0)</f>
        <v>3.8991510645243958E-9</v>
      </c>
      <c r="J37" s="71">
        <f>IFERROR(VLOOKUP("U-233",$A$4:$L$32,10)/$B37,0)</f>
        <v>1.9465267304526608E-4</v>
      </c>
      <c r="K37" s="72">
        <f>IFERROR(VLOOKUP("U-233",$A$4:$L$32,11)/$B37,0)</f>
        <v>3.8990729609245404E-9</v>
      </c>
      <c r="L37" s="69">
        <f t="shared" si="60"/>
        <v>8.3340733916097953</v>
      </c>
    </row>
    <row r="38" spans="1:12">
      <c r="A38" s="31" t="s">
        <v>179</v>
      </c>
      <c r="B38" s="32">
        <v>1</v>
      </c>
      <c r="C38" s="70">
        <f>IFERROR(VLOOKUP("Th-229",$A$4:$L$32,3)/$B38,0)</f>
        <v>3.7110110217285545E-3</v>
      </c>
      <c r="D38" s="71">
        <f>IFERROR(VLOOKUP("Th-229",$A$4:$L$32,4)/$B38,0)</f>
        <v>11.510882119894511</v>
      </c>
      <c r="E38" s="72">
        <f t="shared" si="61"/>
        <v>3.7098150087520806E-3</v>
      </c>
      <c r="F38" s="70">
        <f>IFERROR(VLOOKUP("Th-229",$A$4:$L$32,6)/$B38,0)</f>
        <v>1.3730740780395665E-4</v>
      </c>
      <c r="G38" s="71">
        <f>IFERROR(VLOOKUP("Th-229",$A$4:$L$32,7)/$B38,0)</f>
        <v>0.42590263843609732</v>
      </c>
      <c r="H38" s="72">
        <f t="shared" si="63"/>
        <v>1.3726315532382711E-4</v>
      </c>
      <c r="I38" s="70">
        <f>IFERROR(VLOOKUP("Th-229",$A$4:$L$32,9)/$B38,0)</f>
        <v>1.7465531960751445E-11</v>
      </c>
      <c r="J38" s="71">
        <f>IFERROR(VLOOKUP("Th-229",$A$4:$L$32,10)/$B38,0)</f>
        <v>5.4174907696128483E-8</v>
      </c>
      <c r="K38" s="72">
        <f>IFERROR(VLOOKUP("Th-229",$A$4:$L$32,11)/$B38,0)</f>
        <v>1.7459903035710863E-11</v>
      </c>
      <c r="L38" s="69">
        <f t="shared" si="60"/>
        <v>0.82357893194296206</v>
      </c>
    </row>
    <row r="39" spans="1:12">
      <c r="A39" s="31" t="s">
        <v>180</v>
      </c>
      <c r="B39" s="32">
        <v>1</v>
      </c>
      <c r="C39" s="70">
        <f>IFERROR(VLOOKUP("Ra-225",$A$4:$L$32,3)/$B39,0)</f>
        <v>9.4958223203054203E-3</v>
      </c>
      <c r="D39" s="71">
        <f>IFERROR(VLOOKUP("Ra-225",$A$4:$L$32,4)/$B39,0)</f>
        <v>81.099396753802239</v>
      </c>
      <c r="E39" s="72">
        <f t="shared" si="61"/>
        <v>9.4947105970568969E-3</v>
      </c>
      <c r="F39" s="70">
        <f>IFERROR(VLOOKUP("Ra-225",$A$4:$L$32,6)/$B39,0)</f>
        <v>3.5134542585130092E-4</v>
      </c>
      <c r="G39" s="71">
        <f>IFERROR(VLOOKUP("Ra-225",$A$4:$L$32,7)/$B39,0)</f>
        <v>3.000677679890686</v>
      </c>
      <c r="H39" s="72">
        <f t="shared" si="63"/>
        <v>3.5130429209110557E-4</v>
      </c>
      <c r="I39" s="70">
        <f>IFERROR(VLOOKUP("Ra-225",$A$4:$L$32,9)/$B39,0)</f>
        <v>2.4421173731700435E-16</v>
      </c>
      <c r="J39" s="71">
        <f>IFERROR(VLOOKUP("Ra-225",$A$4:$L$32,10)/$B39,0)</f>
        <v>2.0856987324053106E-12</v>
      </c>
      <c r="K39" s="72">
        <f>IFERROR(VLOOKUP("Ra-225",$A$4:$L$32,11)/$B39,0)</f>
        <v>2.44183146231706E-16</v>
      </c>
      <c r="L39" s="69">
        <f t="shared" si="60"/>
        <v>2.1078257525466313</v>
      </c>
    </row>
    <row r="40" spans="1:12">
      <c r="A40" s="31" t="s">
        <v>181</v>
      </c>
      <c r="B40" s="32">
        <v>1</v>
      </c>
      <c r="C40" s="70">
        <f>IFERROR(VLOOKUP("Ac-225",$A$4:$L$32,3)/$B40,0)</f>
        <v>4.3212346314200574E-2</v>
      </c>
      <c r="D40" s="71">
        <f>IFERROR(VLOOKUP("Ac-225",$A$4:$L$32,4)/$B40,0)</f>
        <v>67.582830628168537</v>
      </c>
      <c r="E40" s="72">
        <f t="shared" si="61"/>
        <v>4.3184734069097258E-2</v>
      </c>
      <c r="F40" s="70">
        <f>IFERROR(VLOOKUP("Ac-225",$A$4:$L$32,6)/$B40,0)</f>
        <v>1.598856813625423E-3</v>
      </c>
      <c r="G40" s="71">
        <f>IFERROR(VLOOKUP("Ac-225",$A$4:$L$32,7)/$B40,0)</f>
        <v>2.5005647332422383</v>
      </c>
      <c r="H40" s="72">
        <f t="shared" si="63"/>
        <v>1.5978351605566005E-3</v>
      </c>
      <c r="I40" s="70">
        <f>IFERROR(VLOOKUP("Ac-225",$A$4:$L$32,9)/$B40,0)</f>
        <v>7.4585693638210296E-16</v>
      </c>
      <c r="J40" s="71">
        <f>IFERROR(VLOOKUP("Ac-225",$A$4:$L$32,10)/$B40,0)</f>
        <v>1.1664981724862138E-12</v>
      </c>
      <c r="K40" s="72">
        <f>IFERROR(VLOOKUP("Ac-225",$A$4:$L$32,11)/$B40,0)</f>
        <v>7.4538034146662094E-16</v>
      </c>
      <c r="L40" s="69">
        <f t="shared" si="60"/>
        <v>9.5870109633395924</v>
      </c>
    </row>
    <row r="41" spans="1:12">
      <c r="A41" s="31" t="s">
        <v>182</v>
      </c>
      <c r="B41" s="32">
        <v>1</v>
      </c>
      <c r="C41" s="70">
        <f>IFERROR(VLOOKUP("Fr-221",$A$4:$L$32,3)/$B41,0)</f>
        <v>0</v>
      </c>
      <c r="D41" s="71">
        <f>IFERROR(VLOOKUP("Fr-221",$A$4:$L$32,4)/$B41,0)</f>
        <v>33.163322092632889</v>
      </c>
      <c r="E41" s="72">
        <f t="shared" si="61"/>
        <v>33.163322092632889</v>
      </c>
      <c r="F41" s="70">
        <f>IFERROR(VLOOKUP("Fr-221",$A$4:$L$32,6)/$B41,0)</f>
        <v>0</v>
      </c>
      <c r="G41" s="71">
        <f>IFERROR(VLOOKUP("Fr-221",$A$4:$L$32,7)/$B41,0)</f>
        <v>1.2270429174274182</v>
      </c>
      <c r="H41" s="72">
        <f t="shared" si="63"/>
        <v>1.2270429174274182</v>
      </c>
      <c r="I41" s="70">
        <f>IFERROR(VLOOKUP("Fr-221",$A$4:$L$32,9)/$B41,0)</f>
        <v>0</v>
      </c>
      <c r="J41" s="71">
        <f>IFERROR(VLOOKUP("Fr-221",$A$4:$L$32,10)/$B41,0)</f>
        <v>1.9131501556985195E-16</v>
      </c>
      <c r="K41" s="72">
        <f>IFERROR(VLOOKUP("Fr-221",$A$4:$L$32,11)/$B41,0)</f>
        <v>1.9131501556985195E-16</v>
      </c>
      <c r="L41" s="69">
        <f t="shared" si="60"/>
        <v>7362.2575045645026</v>
      </c>
    </row>
    <row r="42" spans="1:12">
      <c r="A42" s="31" t="s">
        <v>183</v>
      </c>
      <c r="B42" s="32">
        <v>1</v>
      </c>
      <c r="C42" s="70">
        <f>IFERROR(VLOOKUP("At-217",$A$4:$L$32,3)/$B42,0)</f>
        <v>0</v>
      </c>
      <c r="D42" s="71">
        <f>IFERROR(VLOOKUP("At-217",$A$4:$L$32,4)/$B42,0)</f>
        <v>3929.9267149419584</v>
      </c>
      <c r="E42" s="72">
        <f t="shared" si="61"/>
        <v>3929.9267149419584</v>
      </c>
      <c r="F42" s="70">
        <f>IFERROR(VLOOKUP("At-217",$A$4:$L$32,6)/$B42,0)</f>
        <v>0</v>
      </c>
      <c r="G42" s="71">
        <f>IFERROR(VLOOKUP("At-217",$A$4:$L$32,7)/$B42,0)</f>
        <v>145.40728845285261</v>
      </c>
      <c r="H42" s="72">
        <f t="shared" si="63"/>
        <v>145.40728845285261</v>
      </c>
      <c r="I42" s="70">
        <f>IFERROR(VLOOKUP("At-217",$A$4:$L$32,9)/$B42,0)</f>
        <v>0</v>
      </c>
      <c r="J42" s="71">
        <f>IFERROR(VLOOKUP("At-217",$A$4:$L$32,10)/$B42,0)</f>
        <v>2.4456715545902902E-18</v>
      </c>
      <c r="K42" s="72">
        <f>IFERROR(VLOOKUP("At-217",$A$4:$L$32,11)/$B42,0)</f>
        <v>2.4456715545902902E-18</v>
      </c>
      <c r="L42" s="69">
        <f t="shared" si="60"/>
        <v>872443.73071711487</v>
      </c>
    </row>
    <row r="43" spans="1:12">
      <c r="A43" s="31" t="s">
        <v>184</v>
      </c>
      <c r="B43" s="33">
        <v>0.99987999999999999</v>
      </c>
      <c r="C43" s="70">
        <f>IFERROR(VLOOKUP("Bi-213",$A$4:$L$32,3)/$B43,0)</f>
        <v>8.4338691995005437</v>
      </c>
      <c r="D43" s="71">
        <f>IFERROR(VLOOKUP("Bi-213",$A$4:$L$32,4)/$B43,0)</f>
        <v>5.4402465142879626</v>
      </c>
      <c r="E43" s="72">
        <f t="shared" si="61"/>
        <v>3.307045181189042</v>
      </c>
      <c r="F43" s="70">
        <f>IFERROR(VLOOKUP("Bi-213",$A$4:$L$32,6)/$B43,0)</f>
        <v>0.31205316038152048</v>
      </c>
      <c r="G43" s="71">
        <f>IFERROR(VLOOKUP("Bi-213",$A$4:$L$32,7)/$B43,0)</f>
        <v>0.20128912102865482</v>
      </c>
      <c r="H43" s="72">
        <f t="shared" si="63"/>
        <v>0.12236067170399466</v>
      </c>
      <c r="I43" s="70">
        <f>IFERROR(VLOOKUP("Bi-213",$A$4:$L$32,9)/$B43,0)</f>
        <v>4.3629348884063928E-16</v>
      </c>
      <c r="J43" s="71">
        <f>IFERROR(VLOOKUP("Bi-213",$A$4:$L$32,10)/$B43,0)</f>
        <v>2.8143003830464711E-16</v>
      </c>
      <c r="K43" s="72">
        <f>IFERROR(VLOOKUP("Bi-213",$A$4:$L$32,11)/$B43,0)</f>
        <v>1.7107714688532716E-16</v>
      </c>
      <c r="L43" s="69">
        <f t="shared" si="60"/>
        <v>734.16403022396742</v>
      </c>
    </row>
    <row r="44" spans="1:12">
      <c r="A44" s="31" t="s">
        <v>185</v>
      </c>
      <c r="B44" s="32">
        <v>0.97898250799999997</v>
      </c>
      <c r="C44" s="70">
        <f>IFERROR(VLOOKUP("Po-213",$A$4:$L$32,3)/$B44,0)</f>
        <v>0</v>
      </c>
      <c r="D44" s="71">
        <f>IFERROR(VLOOKUP("Po-213",$A$4:$L$32,4)/$B44,0)</f>
        <v>25525.082869027832</v>
      </c>
      <c r="E44" s="72">
        <f t="shared" si="61"/>
        <v>25525.082869027832</v>
      </c>
      <c r="F44" s="70">
        <f>IFERROR(VLOOKUP("Po-213",$A$4:$L$32,6)/$B44,0)</f>
        <v>0</v>
      </c>
      <c r="G44" s="71">
        <f>IFERROR(VLOOKUP("Po-213",$A$4:$L$32,7)/$B44,0)</f>
        <v>944.42806615403083</v>
      </c>
      <c r="H44" s="72">
        <f t="shared" si="63"/>
        <v>944.42806615403072</v>
      </c>
      <c r="I44" s="70">
        <f>IFERROR(VLOOKUP("Po-213",$A$4:$L$32,9)/$B44,0)</f>
        <v>0</v>
      </c>
      <c r="J44" s="71">
        <f>IFERROR(VLOOKUP("Po-213",$A$4:$L$32,10)/$B44,0)</f>
        <v>2.0274375182955935E-21</v>
      </c>
      <c r="K44" s="72">
        <f>IFERROR(VLOOKUP("Po-213",$A$4:$L$32,11)/$B44,0)</f>
        <v>2.0274375182955935E-21</v>
      </c>
      <c r="L44" s="69">
        <f t="shared" si="60"/>
        <v>5666568.396924179</v>
      </c>
    </row>
    <row r="45" spans="1:12">
      <c r="A45" s="31" t="s">
        <v>186</v>
      </c>
      <c r="B45" s="32">
        <v>2.0897492E-2</v>
      </c>
      <c r="C45" s="70">
        <f>IFERROR(VLOOKUP("Tl-209",$A$4:$L$32,3)/$B45,0)</f>
        <v>0</v>
      </c>
      <c r="D45" s="71">
        <f>IFERROR(VLOOKUP("Tl-209",$A$4:$L$32,4)/$B45,0)</f>
        <v>21.133176094159502</v>
      </c>
      <c r="E45" s="72">
        <f t="shared" si="61"/>
        <v>21.133176094159502</v>
      </c>
      <c r="F45" s="70">
        <f>IFERROR(VLOOKUP("Tl-209",$A$4:$L$32,6)/$B45,0)</f>
        <v>0</v>
      </c>
      <c r="G45" s="71">
        <f>IFERROR(VLOOKUP("Tl-209",$A$4:$L$32,7)/$B45,0)</f>
        <v>0.78192751548390238</v>
      </c>
      <c r="H45" s="72">
        <f t="shared" si="63"/>
        <v>0.78192751548390238</v>
      </c>
      <c r="I45" s="70">
        <f>IFERROR(VLOOKUP("Tl-209",$A$4:$L$32,9)/$B45,0)</f>
        <v>0</v>
      </c>
      <c r="J45" s="71">
        <f>IFERROR(VLOOKUP("Tl-209",$A$4:$L$32,10)/$B45,0)</f>
        <v>5.0847370584670505E-17</v>
      </c>
      <c r="K45" s="72">
        <f>IFERROR(VLOOKUP("Tl-209",$A$4:$L$32,11)/$B45,0)</f>
        <v>5.0847370584670505E-17</v>
      </c>
      <c r="L45" s="69">
        <f t="shared" si="60"/>
        <v>4691.56509290341</v>
      </c>
    </row>
    <row r="46" spans="1:12">
      <c r="A46" s="31" t="s">
        <v>187</v>
      </c>
      <c r="B46" s="32">
        <v>0.99987999999999999</v>
      </c>
      <c r="C46" s="70">
        <f>IFERROR(VLOOKUP("Pb-209",$A$4:$L$32,3)/$B46,0)</f>
        <v>30.258058172237565</v>
      </c>
      <c r="D46" s="71">
        <f>IFERROR(VLOOKUP("Pb-209",$A$4:$L$32,4)/$B46,0)</f>
        <v>310.76294961449872</v>
      </c>
      <c r="E46" s="72">
        <f t="shared" si="61"/>
        <v>27.573325960880457</v>
      </c>
      <c r="F46" s="70">
        <f>IFERROR(VLOOKUP("Pb-209",$A$4:$L$32,6)/$B46,0)</f>
        <v>1.119548152372791</v>
      </c>
      <c r="G46" s="71">
        <f>IFERROR(VLOOKUP("Pb-209",$A$4:$L$32,7)/$B46,0)</f>
        <v>11.498229135736464</v>
      </c>
      <c r="H46" s="72">
        <f t="shared" si="63"/>
        <v>1.0202130605525781</v>
      </c>
      <c r="I46" s="70">
        <f>IFERROR(VLOOKUP("Pb-209",$A$4:$L$32,9)/$B46,0)</f>
        <v>6.5754477037335339E-15</v>
      </c>
      <c r="J46" s="71">
        <f>IFERROR(VLOOKUP("Pb-209",$A$4:$L$32,10)/$B46,0)</f>
        <v>6.7532606085177832E-14</v>
      </c>
      <c r="K46" s="72">
        <f>IFERROR(VLOOKUP("Pb-209",$A$4:$L$32,11)/$B46,0)</f>
        <v>5.9920224173579252E-15</v>
      </c>
      <c r="L46" s="69">
        <f t="shared" si="60"/>
        <v>6121.2783633154622</v>
      </c>
    </row>
    <row r="47" spans="1:12">
      <c r="A47" s="30" t="s">
        <v>17</v>
      </c>
      <c r="B47" s="30" t="s">
        <v>59</v>
      </c>
      <c r="C47" s="76">
        <f>IFERROR(1/SUM(1/C48),0)</f>
        <v>0.1699252415212549</v>
      </c>
      <c r="D47" s="77">
        <f>IFERROR(1/SUM(1/D48,1/D49),0)</f>
        <v>1.6284655862681718</v>
      </c>
      <c r="E47" s="78">
        <f>IFERROR(1/SUM(1/E48,1/E49),".")</f>
        <v>0.15386945027728524</v>
      </c>
      <c r="F47" s="76">
        <f>IFERROR(1/SUM(1/F48),0)</f>
        <v>6.287233936286437E-3</v>
      </c>
      <c r="G47" s="77">
        <f>IFERROR(1/SUM(1/G48,1/G49),0)</f>
        <v>6.0253226691922422E-2</v>
      </c>
      <c r="H47" s="78">
        <f>IFERROR(1/SUM(1/H48,1/H49),".")</f>
        <v>5.6931696602595602E-3</v>
      </c>
      <c r="I47" s="73">
        <f>IFERROR(C47*Isospec!$C$11*Isospec!$F$11*SSLcm_m,".")</f>
        <v>1.9663918126410075E-12</v>
      </c>
      <c r="J47" s="74">
        <f>IFERROR(D47*Isospec!$C$11*Isospec!$F$11*SSLcm_m,".")</f>
        <v>1.8844765894329054E-11</v>
      </c>
      <c r="K47" s="75">
        <f>IFERROR(E47*Isospec!$C$11*Isospec!$F$11*SSLcm_m,".")</f>
        <v>1.7805925978512145E-12</v>
      </c>
      <c r="L47" s="68">
        <f t="shared" si="60"/>
        <v>34.159017961557325</v>
      </c>
    </row>
    <row r="48" spans="1:12">
      <c r="A48" s="31" t="s">
        <v>188</v>
      </c>
      <c r="B48" s="32">
        <v>1</v>
      </c>
      <c r="C48" s="70">
        <f>IFERROR(VLOOKUP("Cs-137",$A$4:$L$32,3)/$B48,0)</f>
        <v>0.1699252415212549</v>
      </c>
      <c r="D48" s="71">
        <f>IFERROR(VLOOKUP("Cs-137",$A$4:$L$32,4)/$B48,0)</f>
        <v>285.01385440633373</v>
      </c>
      <c r="E48" s="72">
        <f>IFERROR(IF(AND(C48&lt;&gt;0,D48&lt;&gt;0),(1/((1/C48)+(1/D48))),IF(AND(C48&lt;&gt;0,D48=0),(1/(1/C48)),IF(AND(C48=0,D48&lt;&gt;0),(1/(1/D48)),0))),0)</f>
        <v>0.16982399246795421</v>
      </c>
      <c r="F48" s="70">
        <f>IFERROR(VLOOKUP("Cs-137",$A$4:$L$32,6)/$B48,0)</f>
        <v>6.2872339362864378E-3</v>
      </c>
      <c r="G48" s="71">
        <f>IFERROR(VLOOKUP("Cs-137",$A$4:$L$32,7)/$B48,0)</f>
        <v>10.54551261303436</v>
      </c>
      <c r="H48" s="72">
        <f>IFERROR(IF(AND(F48&lt;&gt;0,G48&lt;&gt;0),(1/((1/F48)+(1/G48))),IF(AND(F48&lt;&gt;0,G48=0),(1/(1/F48)),IF(AND(F48=0,G48&lt;&gt;0),(1/(1/G48)),0))),0)</f>
        <v>6.283487721314312E-3</v>
      </c>
      <c r="I48" s="70">
        <f>IFERROR(VLOOKUP("Cs-137",$A$4:$L$32,9)/$B48,0)</f>
        <v>1.9663918126410075E-12</v>
      </c>
      <c r="J48" s="71">
        <f>IFERROR(VLOOKUP("Cs-137",$A$4:$L$32,10)/$B48,0)</f>
        <v>3.298208699169439E-9</v>
      </c>
      <c r="K48" s="72">
        <f>IFERROR(VLOOKUP("Cs-137",$A$4:$L$32,11)/$B48,0)</f>
        <v>1.9652201485158563E-12</v>
      </c>
      <c r="L48" s="69">
        <f t="shared" si="60"/>
        <v>37.700926327885838</v>
      </c>
    </row>
    <row r="49" spans="1:12">
      <c r="A49" s="31" t="s">
        <v>189</v>
      </c>
      <c r="B49" s="32">
        <v>0.94399</v>
      </c>
      <c r="C49" s="70">
        <f>IFERROR(VLOOKUP("Ba-137m",$A$4:$L$32,3)/$B49,0)</f>
        <v>0</v>
      </c>
      <c r="D49" s="71">
        <f>IFERROR(VLOOKUP("Ba-137m",$A$4:$L$32,4)/$B49,0)</f>
        <v>1.6378235146239755</v>
      </c>
      <c r="E49" s="72">
        <f>IFERROR(IF(AND(C49&lt;&gt;0,D49&lt;&gt;0),(1/((1/C49)+(1/D49))),IF(AND(C49&lt;&gt;0,D49=0),(1/(1/C49)),IF(AND(C49=0,D49&lt;&gt;0),(1/(1/D49)),0))),0)</f>
        <v>1.6378235146239752</v>
      </c>
      <c r="F49" s="70">
        <f>IFERROR(VLOOKUP("Ba-137m",$A$4:$L$32,6)/$B49,0)</f>
        <v>0</v>
      </c>
      <c r="G49" s="71">
        <f>IFERROR(VLOOKUP("Ba-137m",$A$4:$L$32,7)/$B49,0)</f>
        <v>6.0599470041087157E-2</v>
      </c>
      <c r="H49" s="72">
        <f>IFERROR(IF(AND(F49&lt;&gt;0,G49&lt;&gt;0),(1/((1/F49)+(1/G49))),IF(AND(F49&lt;&gt;0,G49=0),(1/(1/F49)),IF(AND(F49=0,G49&lt;&gt;0),(1/(1/G49)),0))),0)</f>
        <v>6.0599470041087164E-2</v>
      </c>
      <c r="I49" s="70">
        <f>IFERROR(VLOOKUP("Ba-137m",$A$4:$L$32,9)/$B49,0)</f>
        <v>0</v>
      </c>
      <c r="J49" s="71">
        <f>IFERROR(VLOOKUP("Ba-137m",$A$4:$L$32,10)/$B49,0)</f>
        <v>3.0504998929514631E-18</v>
      </c>
      <c r="K49" s="72">
        <f>IFERROR(VLOOKUP("Ba-137m",$A$4:$L$32,11)/$B49,0)</f>
        <v>3.0504998929514631E-18</v>
      </c>
      <c r="L49" s="69">
        <f t="shared" si="60"/>
        <v>363.59682024652255</v>
      </c>
    </row>
    <row r="50" spans="1:12">
      <c r="A50" s="30" t="s">
        <v>27</v>
      </c>
      <c r="B50" s="30" t="s">
        <v>59</v>
      </c>
      <c r="C50" s="76">
        <f>IFERROR(1/SUM(1/C51,1/C56,1/C57,1/C60,1/C61,1/C62),0)</f>
        <v>7.0074481547613193E-4</v>
      </c>
      <c r="D50" s="77">
        <f>IFERROR(1/SUM(1/D51,1/D52,1/D53,1/D56,1/D54,1/D57,1/D55,1/D58,1/D59,1/D60,1/D61,1/D63,1/D62,1/D64),0)</f>
        <v>0.52232873767774601</v>
      </c>
      <c r="E50" s="78">
        <f>IFERROR(1/SUM(1/E51,1/E52,1/E53,1/E56,1/E54,1/E57,1/E55,1/E58,1/E59,1/E60,1/E61,1/E63,1/E62,1/E64),0)</f>
        <v>6.998059710842709E-4</v>
      </c>
      <c r="F50" s="76">
        <f>IFERROR(1/SUM(1/F51,1/F56,1/F57,1/F60,1/F61,1/F62),0)</f>
        <v>2.5927558172616909E-5</v>
      </c>
      <c r="G50" s="77">
        <f>IFERROR(1/SUM(1/G51,1/G52,1/G53,1/G56,1/G54,1/G57,1/G55,1/G58,1/G59,1/G60,1/G61,1/G63,1/G62,1/G64),0)</f>
        <v>1.9326163294076614E-2</v>
      </c>
      <c r="H50" s="78">
        <f>IFERROR(1/SUM(1/H51,1/H52,1/H53,1/H56,1/H54,1/H57,1/H55,1/H58,1/H59,1/H60,1/H61,1/H63,1/H62,1/H64),0)</f>
        <v>2.5892820930118055E-5</v>
      </c>
      <c r="I50" s="73">
        <f>IFERROR(C50*Isospec!$C$24*Isospec!$F$24*SSLcm_m,".")</f>
        <v>7.0949011077327421E-13</v>
      </c>
      <c r="J50" s="74">
        <f>IFERROR(D50*Isospec!$C$24*Isospec!$F$24*SSLcm_m,".")</f>
        <v>5.2884740032396424E-10</v>
      </c>
      <c r="K50" s="75">
        <f>IFERROR(E50*Isospec!$C$24*Isospec!$F$24*SSLcm_m,".")</f>
        <v>7.0853954960340261E-13</v>
      </c>
      <c r="L50" s="68">
        <f t="shared" si="60"/>
        <v>0.15535692558070816</v>
      </c>
    </row>
    <row r="51" spans="1:12">
      <c r="A51" s="31" t="s">
        <v>190</v>
      </c>
      <c r="B51" s="32">
        <v>1</v>
      </c>
      <c r="C51" s="70">
        <f>IFERROR(VLOOKUP("Ra-226",$A$4:$L$32,3)/$B51,0)</f>
        <v>4.9889750821913688E-3</v>
      </c>
      <c r="D51" s="71">
        <f>IFERROR(VLOOKUP("Ra-226",$A$4:$L$32,4)/$B51,0)</f>
        <v>133.54691082212943</v>
      </c>
      <c r="E51" s="72">
        <f t="shared" ref="E51:E64" si="64">IFERROR(IF(AND(C51&lt;&gt;0,D51&lt;&gt;0),(1/((1/C51)+(1/D51))),IF(AND(C51&lt;&gt;0,D51=0),(1/(1/C51)),IF(AND(C51=0,D51&lt;&gt;0),(1/(1/D51)),0))),0)</f>
        <v>4.988788713652932E-3</v>
      </c>
      <c r="F51" s="70">
        <f>IFERROR(VLOOKUP("Ra-226",$A$4:$L$32,6)/$B51,0)</f>
        <v>1.8459207804108084E-4</v>
      </c>
      <c r="G51" s="71">
        <f>IFERROR(VLOOKUP("Ra-226",$A$4:$L$32,7)/$B51,0)</f>
        <v>4.9412357004187939</v>
      </c>
      <c r="H51" s="72">
        <f t="shared" ref="H51:H64" si="65">IFERROR(IF(AND(F51&lt;&gt;0,G51&lt;&gt;0),(1/((1/F51)+(1/G51))),IF(AND(F51&lt;&gt;0,G51=0),(1/(1/F51)),IF(AND(F51=0,G51&lt;&gt;0),(1/(1/G51)),0))),0)</f>
        <v>1.8458518240515865E-4</v>
      </c>
      <c r="I51" s="70">
        <f>IFERROR(VLOOKUP("Ra-226",$A$4:$L$32,9)/$B51,0)</f>
        <v>5.0512374912171174E-12</v>
      </c>
      <c r="J51" s="71">
        <f>IFERROR(VLOOKUP("Ra-226",$A$4:$L$32,10)/$B51,0)</f>
        <v>1.3521357626918959E-7</v>
      </c>
      <c r="K51" s="72">
        <f>IFERROR(VLOOKUP("Ra-226",$A$4:$L$32,11)/$B51,0)</f>
        <v>5.0510487967993208E-12</v>
      </c>
      <c r="L51" s="69">
        <f t="shared" si="60"/>
        <v>1.107511094430951</v>
      </c>
    </row>
    <row r="52" spans="1:12">
      <c r="A52" s="31" t="s">
        <v>191</v>
      </c>
      <c r="B52" s="32">
        <v>1</v>
      </c>
      <c r="C52" s="70">
        <f>IFERROR(VLOOKUP("Rn-222",$A$4:$L$32,3)/$B52,0)</f>
        <v>0</v>
      </c>
      <c r="D52" s="71">
        <f>IFERROR(VLOOKUP("Rn-222",$A$4:$L$32,4)/$B52,0)</f>
        <v>2398.1004416446895</v>
      </c>
      <c r="E52" s="72">
        <f t="shared" si="64"/>
        <v>2398.1004416446895</v>
      </c>
      <c r="F52" s="70">
        <f>IFERROR(VLOOKUP("Rn-222",$A$4:$L$32,6)/$B52,0)</f>
        <v>0</v>
      </c>
      <c r="G52" s="71">
        <f>IFERROR(VLOOKUP("Rn-222",$A$4:$L$32,7)/$B52,0)</f>
        <v>88.729716340853599</v>
      </c>
      <c r="H52" s="72">
        <f t="shared" si="65"/>
        <v>88.729716340853599</v>
      </c>
      <c r="I52" s="70">
        <f>IFERROR(VLOOKUP("Rn-222",$A$4:$L$32,9)/$B52,0)</f>
        <v>0</v>
      </c>
      <c r="J52" s="71">
        <f>IFERROR(VLOOKUP("Rn-222",$A$4:$L$32,10)/$B52,0)</f>
        <v>1.5615165981400622E-11</v>
      </c>
      <c r="K52" s="72">
        <f>IFERROR(VLOOKUP("Rn-222",$A$4:$L$32,11)/$B52,0)</f>
        <v>1.5615165981400622E-11</v>
      </c>
      <c r="L52" s="69">
        <f t="shared" si="60"/>
        <v>532378.29804512113</v>
      </c>
    </row>
    <row r="53" spans="1:12">
      <c r="A53" s="31" t="s">
        <v>192</v>
      </c>
      <c r="B53" s="32">
        <v>1</v>
      </c>
      <c r="C53" s="70">
        <f>IFERROR(VLOOKUP("Po-218",$A$4:$L$32,3)/$B53,0)</f>
        <v>0</v>
      </c>
      <c r="D53" s="71">
        <f>IFERROR(VLOOKUP("Po-218",$A$4:$L$32,4)/$B53,0)</f>
        <v>149054864.54332906</v>
      </c>
      <c r="E53" s="72">
        <f t="shared" si="64"/>
        <v>149054864.54332906</v>
      </c>
      <c r="F53" s="70">
        <f>IFERROR(VLOOKUP("Po-218",$A$4:$L$32,6)/$B53,0)</f>
        <v>0</v>
      </c>
      <c r="G53" s="71">
        <f>IFERROR(VLOOKUP("Po-218",$A$4:$L$32,7)/$B53,0)</f>
        <v>5515029.9881031811</v>
      </c>
      <c r="H53" s="72">
        <f t="shared" si="65"/>
        <v>5515029.9881031811</v>
      </c>
      <c r="I53" s="70">
        <f>IFERROR(VLOOKUP("Po-218",$A$4:$L$32,9)/$B53,0)</f>
        <v>0</v>
      </c>
      <c r="J53" s="71">
        <f>IFERROR(VLOOKUP("Po-218",$A$4:$L$32,10)/$B53,0)</f>
        <v>5.3662019954997778E-10</v>
      </c>
      <c r="K53" s="72">
        <f>IFERROR(VLOOKUP("Po-218",$A$4:$L$32,11)/$B53,0)</f>
        <v>5.3662019954997778E-10</v>
      </c>
      <c r="L53" s="69">
        <f t="shared" si="60"/>
        <v>33090179928.619057</v>
      </c>
    </row>
    <row r="54" spans="1:12">
      <c r="A54" s="31" t="s">
        <v>194</v>
      </c>
      <c r="B54" s="32">
        <v>2.0000000000000001E-4</v>
      </c>
      <c r="C54" s="70">
        <f>IFERROR(VLOOKUP("At-218",$A$4:$L$32,3)/$B54,0)</f>
        <v>0</v>
      </c>
      <c r="D54" s="71">
        <f>IFERROR(VLOOKUP("At-218",$A$4:$L$32,4)/$B54,0)</f>
        <v>39648593.968525544</v>
      </c>
      <c r="E54" s="72">
        <f>IFERROR(IF(AND(C54&lt;&gt;0,D54&lt;&gt;0),(1/((1/C54)+(1/D54))),IF(AND(C54&lt;&gt;0,D54=0),(1/(1/C54)),IF(AND(C54=0,D54&lt;&gt;0),(1/(1/D54)),0))),0)</f>
        <v>39648593.968525544</v>
      </c>
      <c r="F54" s="70">
        <f>IFERROR(VLOOKUP("At-218",$A$4:$L$32,6)/$B54,0)</f>
        <v>0</v>
      </c>
      <c r="G54" s="71">
        <f>IFERROR(VLOOKUP("At-218",$A$4:$L$32,7)/$B54,0)</f>
        <v>1466997.9768354464</v>
      </c>
      <c r="H54" s="72">
        <f>IFERROR(IF(AND(F54&lt;&gt;0,G54&lt;&gt;0),(1/((1/F54)+(1/G54))),IF(AND(F54&lt;&gt;0,G54=0),(1/(1/F54)),IF(AND(F54=0,G54&lt;&gt;0),(1/(1/G54)),0))),0)</f>
        <v>1466997.9768354464</v>
      </c>
      <c r="I54" s="70">
        <f>IFERROR(VLOOKUP("At-218",$A$4:$L$32,9)/$B54,0)</f>
        <v>0</v>
      </c>
      <c r="J54" s="71">
        <f>IFERROR(VLOOKUP("At-218",$A$4:$L$32,10)/$B54,0)</f>
        <v>1.1511368796797968E-12</v>
      </c>
      <c r="K54" s="72">
        <f>IFERROR(VLOOKUP("At-218",$A$4:$L$32,11)/$B54,0)</f>
        <v>1.1511368796797968E-12</v>
      </c>
      <c r="L54" s="69">
        <f>IF(E54&lt;&gt;".",E54*2.22*100,".")</f>
        <v>8801987861.0126724</v>
      </c>
    </row>
    <row r="55" spans="1:12">
      <c r="A55" s="31" t="s">
        <v>196</v>
      </c>
      <c r="B55" s="32">
        <v>1.9999999999999999E-7</v>
      </c>
      <c r="C55" s="70">
        <f>IFERROR(VLOOKUP("Rn-218",$A$4:$L$32,3)/$B55,0)</f>
        <v>0</v>
      </c>
      <c r="D55" s="71">
        <f>IFERROR(VLOOKUP("Rn-218",$A$4:$L$32,4)/$B55,0)</f>
        <v>6160865775.496026</v>
      </c>
      <c r="E55" s="72">
        <f>IFERROR(IF(AND(C55&lt;&gt;0,D55&lt;&gt;0),(1/((1/C55)+(1/D55))),IF(AND(C55&lt;&gt;0,D55=0),(1/(1/C55)),IF(AND(C55=0,D55&lt;&gt;0),(1/(1/D55)),0))),0)</f>
        <v>6160865775.496026</v>
      </c>
      <c r="F55" s="70">
        <f>IFERROR(VLOOKUP("Rn-218",$A$4:$L$32,6)/$B55,0)</f>
        <v>0</v>
      </c>
      <c r="G55" s="71">
        <f>IFERROR(VLOOKUP("Rn-218",$A$4:$L$32,7)/$B55,0)</f>
        <v>227952033.69335321</v>
      </c>
      <c r="H55" s="72">
        <f>IFERROR(IF(AND(F55&lt;&gt;0,G55&lt;&gt;0),(1/((1/F55)+(1/G55))),IF(AND(F55&lt;&gt;0,G55=0),(1/(1/F55)),IF(AND(F55=0,G55&lt;&gt;0),(1/(1/G55)),0))),0)</f>
        <v>227952033.69335321</v>
      </c>
      <c r="I55" s="70">
        <f>IFERROR(VLOOKUP("Rn-218",$A$4:$L$32,9)/$B55,0)</f>
        <v>0</v>
      </c>
      <c r="J55" s="71">
        <f>IFERROR(VLOOKUP("Rn-218",$A$4:$L$32,10)/$B55,0)</f>
        <v>4.17366617287233E-12</v>
      </c>
      <c r="K55" s="72">
        <f>IFERROR(VLOOKUP("Rn-218",$A$4:$L$32,11)/$B55,0)</f>
        <v>4.17366617287233E-12</v>
      </c>
      <c r="L55" s="69">
        <f>IF(E55&lt;&gt;".",E55*2.22*100,".")</f>
        <v>1367712202160.1179</v>
      </c>
    </row>
    <row r="56" spans="1:12">
      <c r="A56" s="31" t="s">
        <v>193</v>
      </c>
      <c r="B56" s="32">
        <v>0.99980000000000002</v>
      </c>
      <c r="C56" s="70">
        <f>IFERROR(VLOOKUP("Pb-214",$A$4:$L$32,3)/$B56,0)</f>
        <v>11.359084441173108</v>
      </c>
      <c r="D56" s="71">
        <f>IFERROR(VLOOKUP("Pb-214",$A$4:$L$32,4)/$B56,0)</f>
        <v>3.6719004882944675</v>
      </c>
      <c r="E56" s="72">
        <f t="shared" si="64"/>
        <v>2.7748965155538245</v>
      </c>
      <c r="F56" s="70">
        <f>IFERROR(VLOOKUP("Pb-214",$A$4:$L$32,6)/$B56,0)</f>
        <v>0.4202861243234054</v>
      </c>
      <c r="G56" s="71">
        <f>IFERROR(VLOOKUP("Pb-214",$A$4:$L$32,7)/$B56,0)</f>
        <v>0.13586031806689544</v>
      </c>
      <c r="H56" s="72">
        <f t="shared" si="65"/>
        <v>0.10267117107549162</v>
      </c>
      <c r="I56" s="70">
        <f>IFERROR(VLOOKUP("Pb-214",$A$4:$L$32,9)/$B56,0)</f>
        <v>3.4705201492321767E-16</v>
      </c>
      <c r="J56" s="71">
        <f>IFERROR(VLOOKUP("Pb-214",$A$4:$L$32,10)/$B56,0)</f>
        <v>1.1218689936321436E-16</v>
      </c>
      <c r="K56" s="72">
        <f>IFERROR(VLOOKUP("Pb-214",$A$4:$L$32,11)/$B56,0)</f>
        <v>8.4780902185714664E-17</v>
      </c>
      <c r="L56" s="69">
        <f t="shared" si="60"/>
        <v>616.02702645294914</v>
      </c>
    </row>
    <row r="57" spans="1:12">
      <c r="A57" s="31" t="s">
        <v>195</v>
      </c>
      <c r="B57" s="32">
        <v>0.99999979999999999</v>
      </c>
      <c r="C57" s="70">
        <f>IFERROR(VLOOKUP("Bi-214",$A$4:$L$32,3)/$B57,0)</f>
        <v>15.167826605596796</v>
      </c>
      <c r="D57" s="71">
        <f>IFERROR(VLOOKUP("Bi-214",$A$4:$L$32,4)/$B57,0)</f>
        <v>0.62823488923276971</v>
      </c>
      <c r="E57" s="72">
        <f t="shared" si="64"/>
        <v>0.60324897257382915</v>
      </c>
      <c r="F57" s="70">
        <f>IFERROR(VLOOKUP("Bi-214",$A$4:$L$32,6)/$B57,0)</f>
        <v>0.56120958440708202</v>
      </c>
      <c r="G57" s="71">
        <f>IFERROR(VLOOKUP("Bi-214",$A$4:$L$32,7)/$B57,0)</f>
        <v>2.3244690901612502E-2</v>
      </c>
      <c r="H57" s="72">
        <f t="shared" si="65"/>
        <v>2.2320211985231701E-2</v>
      </c>
      <c r="I57" s="70">
        <f>IFERROR(VLOOKUP("Bi-214",$A$4:$L$32,9)/$B57,0)</f>
        <v>3.4410650279921048E-16</v>
      </c>
      <c r="J57" s="71">
        <f>IFERROR(VLOOKUP("Bi-214",$A$4:$L$32,10)/$B57,0)</f>
        <v>1.4252517271694635E-17</v>
      </c>
      <c r="K57" s="72">
        <f>IFERROR(VLOOKUP("Bi-214",$A$4:$L$32,11)/$B57,0)</f>
        <v>1.3685671630304718E-17</v>
      </c>
      <c r="L57" s="69">
        <f t="shared" si="60"/>
        <v>133.92127191139008</v>
      </c>
    </row>
    <row r="58" spans="1:12">
      <c r="A58" s="31" t="s">
        <v>197</v>
      </c>
      <c r="B58" s="32">
        <v>0.99979000004200003</v>
      </c>
      <c r="C58" s="70">
        <f>IFERROR(VLOOKUP("Po-214",$A$4:$L$32,3)/$B58,0)</f>
        <v>0</v>
      </c>
      <c r="D58" s="71">
        <f>IFERROR(VLOOKUP("Po-214",$A$4:$L$32,4)/$B58,0)</f>
        <v>11337.74769009432</v>
      </c>
      <c r="E58" s="72">
        <f t="shared" si="64"/>
        <v>11337.74769009432</v>
      </c>
      <c r="F58" s="70">
        <f>IFERROR(VLOOKUP("Po-214",$A$4:$L$32,6)/$B58,0)</f>
        <v>0</v>
      </c>
      <c r="G58" s="71">
        <f>IFERROR(VLOOKUP("Po-214",$A$4:$L$32,7)/$B58,0)</f>
        <v>419.49666453349028</v>
      </c>
      <c r="H58" s="72">
        <f t="shared" si="65"/>
        <v>419.49666453349033</v>
      </c>
      <c r="I58" s="70">
        <f>IFERROR(VLOOKUP("Po-214",$A$4:$L$32,9)/$B58,0)</f>
        <v>0</v>
      </c>
      <c r="J58" s="71">
        <f>IFERROR(VLOOKUP("Po-214",$A$4:$L$32,10)/$B58,0)</f>
        <v>3.5393992064088898E-20</v>
      </c>
      <c r="K58" s="72">
        <f>IFERROR(VLOOKUP("Po-214",$A$4:$L$32,11)/$B58,0)</f>
        <v>3.5393992064088898E-20</v>
      </c>
      <c r="L58" s="69">
        <f t="shared" si="60"/>
        <v>2516979.9872009391</v>
      </c>
    </row>
    <row r="59" spans="1:12">
      <c r="A59" s="31" t="s">
        <v>198</v>
      </c>
      <c r="B59" s="32">
        <v>2.0999995799999999E-4</v>
      </c>
      <c r="C59" s="70">
        <f>IFERROR(VLOOKUP("Tl-210",$A$4:$L$32,3)/$B59,0)</f>
        <v>0</v>
      </c>
      <c r="D59" s="71">
        <f>IFERROR(VLOOKUP("Tl-210",$A$4:$L$32,4)/$B59,0)</f>
        <v>1609.1153367794609</v>
      </c>
      <c r="E59" s="72">
        <f t="shared" si="64"/>
        <v>1609.1153367794609</v>
      </c>
      <c r="F59" s="70">
        <f>IFERROR(VLOOKUP("Tl-210",$A$4:$L$32,6)/$B59,0)</f>
        <v>0</v>
      </c>
      <c r="G59" s="71">
        <f>IFERROR(VLOOKUP("Tl-210",$A$4:$L$32,7)/$B59,0)</f>
        <v>59.537267460840113</v>
      </c>
      <c r="H59" s="72">
        <f t="shared" si="65"/>
        <v>59.53726746084012</v>
      </c>
      <c r="I59" s="70">
        <f>IFERROR(VLOOKUP("Tl-210",$A$4:$L$32,9)/$B59,0)</f>
        <v>0</v>
      </c>
      <c r="J59" s="71">
        <f>IFERROR(VLOOKUP("Tl-210",$A$4:$L$32,10)/$B59,0)</f>
        <v>2.3401974190148422E-15</v>
      </c>
      <c r="K59" s="72">
        <f>IFERROR(VLOOKUP("Tl-210",$A$4:$L$32,11)/$B59,0)</f>
        <v>2.3401974190148422E-15</v>
      </c>
      <c r="L59" s="69">
        <f t="shared" si="60"/>
        <v>357223.60476504033</v>
      </c>
    </row>
    <row r="60" spans="1:12">
      <c r="A60" s="31" t="s">
        <v>199</v>
      </c>
      <c r="B60" s="32">
        <v>1</v>
      </c>
      <c r="C60" s="70">
        <f>IFERROR(VLOOKUP("Pb-210",$A$4:$L$32,3)/$B60,0)</f>
        <v>2.2156918747379315E-3</v>
      </c>
      <c r="D60" s="71">
        <f>IFERROR(VLOOKUP("Pb-210",$A$4:$L$32,4)/$B60,0)</f>
        <v>411.10293285337531</v>
      </c>
      <c r="E60" s="72">
        <f t="shared" si="64"/>
        <v>2.2156799330473416E-3</v>
      </c>
      <c r="F60" s="70">
        <f>IFERROR(VLOOKUP("Pb-210",$A$4:$L$32,6)/$B60,0)</f>
        <v>8.1980599365303548E-5</v>
      </c>
      <c r="G60" s="71">
        <f>IFERROR(VLOOKUP("Pb-210",$A$4:$L$32,7)/$B60,0)</f>
        <v>15.210808515574902</v>
      </c>
      <c r="H60" s="72">
        <f t="shared" si="65"/>
        <v>8.198015752275173E-5</v>
      </c>
      <c r="I60" s="70">
        <f>IFERROR(VLOOKUP("Pb-210",$A$4:$L$32,9)/$B60,0)</f>
        <v>2.8922755456079062E-14</v>
      </c>
      <c r="J60" s="71">
        <f>IFERROR(VLOOKUP("Pb-210",$A$4:$L$32,10)/$B60,0)</f>
        <v>5.3663732442948201E-9</v>
      </c>
      <c r="K60" s="72">
        <f>IFERROR(VLOOKUP("Pb-210",$A$4:$L$32,11)/$B60,0)</f>
        <v>2.8922599574026777E-14</v>
      </c>
      <c r="L60" s="69">
        <f t="shared" si="60"/>
        <v>0.49188094513650987</v>
      </c>
    </row>
    <row r="61" spans="1:12">
      <c r="A61" s="31" t="s">
        <v>200</v>
      </c>
      <c r="B61" s="32">
        <v>1</v>
      </c>
      <c r="C61" s="70">
        <f>IFERROR(VLOOKUP("Bi-210",$A$4:$L$32,3)/$B61,0)</f>
        <v>1.2555587290181611</v>
      </c>
      <c r="D61" s="71">
        <f>IFERROR(VLOOKUP("Bi-210",$A$4:$L$32,4)/$B61,0)</f>
        <v>25.415765364439448</v>
      </c>
      <c r="E61" s="72">
        <f t="shared" si="64"/>
        <v>1.1964530124631891</v>
      </c>
      <c r="F61" s="70">
        <f>IFERROR(VLOOKUP("Bi-210",$A$4:$L$32,6)/$B61,0)</f>
        <v>4.6455672973672008E-2</v>
      </c>
      <c r="G61" s="71">
        <f>IFERROR(VLOOKUP("Bi-210",$A$4:$L$32,7)/$B61,0)</f>
        <v>0.94038331848426049</v>
      </c>
      <c r="H61" s="72">
        <f t="shared" si="65"/>
        <v>4.4268761461138041E-2</v>
      </c>
      <c r="I61" s="70">
        <f>IFERROR(VLOOKUP("Bi-210",$A$4:$L$32,9)/$B61,0)</f>
        <v>1.0139562066405159E-14</v>
      </c>
      <c r="J61" s="71">
        <f>IFERROR(VLOOKUP("Bi-210",$A$4:$L$32,10)/$B61,0)</f>
        <v>2.0525103638875404E-13</v>
      </c>
      <c r="K61" s="72">
        <f>IFERROR(VLOOKUP("Bi-210",$A$4:$L$32,11)/$B61,0)</f>
        <v>9.6622398451203437E-15</v>
      </c>
      <c r="L61" s="69">
        <f t="shared" si="60"/>
        <v>265.61256876682802</v>
      </c>
    </row>
    <row r="62" spans="1:12">
      <c r="A62" s="31" t="s">
        <v>202</v>
      </c>
      <c r="B62" s="32">
        <v>1</v>
      </c>
      <c r="C62" s="70">
        <f>IFERROR(VLOOKUP("Po-210",$A$4:$L$32,3)/$B62,0)</f>
        <v>1.2914318355615371E-3</v>
      </c>
      <c r="D62" s="71">
        <f>IFERROR(VLOOKUP("Po-210",$A$4:$L$32,4)/$B62,0)</f>
        <v>96756.330183495069</v>
      </c>
      <c r="E62" s="72">
        <f>IFERROR(IF(AND(C62&lt;&gt;0,D62&lt;&gt;0),(1/((1/C62)+(1/D62))),IF(AND(C62&lt;&gt;0,D62=0),(1/(1/C62)),IF(AND(C62=0,D62&lt;&gt;0),(1/(1/D62)),0))),0)</f>
        <v>1.2914318183244616E-3</v>
      </c>
      <c r="F62" s="70">
        <f>IFERROR(VLOOKUP("Po-210",$A$4:$L$32,6)/$B62,0)</f>
        <v>4.7782977915776918E-5</v>
      </c>
      <c r="G62" s="71">
        <f>IFERROR(VLOOKUP("Po-210",$A$4:$L$32,7)/$B62,0)</f>
        <v>3579.9842167893212</v>
      </c>
      <c r="H62" s="72">
        <f>IFERROR(IF(AND(F62&lt;&gt;0,G62&lt;&gt;0),(1/((1/F62)+(1/G62))),IF(AND(F62&lt;&gt;0,G62=0),(1/(1/F62)),IF(AND(F62=0,G62&lt;&gt;0),(1/(1/G62)),0))),0)</f>
        <v>4.7782977278005128E-5</v>
      </c>
      <c r="I62" s="70">
        <f>IFERROR(VLOOKUP("Po-210",$A$4:$L$32,9)/$B62,0)</f>
        <v>2.8788346560675367E-16</v>
      </c>
      <c r="J62" s="71">
        <f>IFERROR(VLOOKUP("Po-210",$A$4:$L$32,10)/$B62,0)</f>
        <v>2.1568732383389221E-8</v>
      </c>
      <c r="K62" s="72">
        <f>IFERROR(VLOOKUP("Po-210",$A$4:$L$32,11)/$B62,0)</f>
        <v>2.8788346176429838E-16</v>
      </c>
      <c r="L62" s="69">
        <f>IF(E62&lt;&gt;".",E62*2.22*100,".")</f>
        <v>0.28669786366803052</v>
      </c>
    </row>
    <row r="63" spans="1:12">
      <c r="A63" s="31" t="s">
        <v>201</v>
      </c>
      <c r="B63" s="34">
        <v>1.9000000000000001E-8</v>
      </c>
      <c r="C63" s="70">
        <f>IFERROR(VLOOKUP("Hg-206",$A$4:$L$32,3)/$B63,0)</f>
        <v>0</v>
      </c>
      <c r="D63" s="71">
        <f>IFERROR(VLOOKUP("Hg-206",$A$4:$L$32,4)/$B63,0)</f>
        <v>315115988.7996555</v>
      </c>
      <c r="E63" s="72">
        <f t="shared" si="64"/>
        <v>315115988.7996555</v>
      </c>
      <c r="F63" s="70">
        <f>IFERROR(VLOOKUP("Hg-206",$A$4:$L$32,6)/$B63,0)</f>
        <v>0</v>
      </c>
      <c r="G63" s="71">
        <f>IFERROR(VLOOKUP("Hg-206",$A$4:$L$32,7)/$B63,0)</f>
        <v>11659291.585587265</v>
      </c>
      <c r="H63" s="72">
        <f t="shared" si="65"/>
        <v>11659291.585587265</v>
      </c>
      <c r="I63" s="70">
        <f>IFERROR(VLOOKUP("Hg-206",$A$4:$L$32,9)/$B63,0)</f>
        <v>0</v>
      </c>
      <c r="J63" s="71">
        <f>IFERROR(VLOOKUP("Hg-206",$A$4:$L$32,10)/$B63,0)</f>
        <v>2.8183695853654635E-9</v>
      </c>
      <c r="K63" s="72">
        <f>IFERROR(VLOOKUP("Hg-206",$A$4:$L$32,11)/$B63,0)</f>
        <v>2.8183695853654635E-9</v>
      </c>
      <c r="L63" s="69">
        <f t="shared" si="60"/>
        <v>69955749513.523529</v>
      </c>
    </row>
    <row r="64" spans="1:12">
      <c r="A64" s="31" t="s">
        <v>203</v>
      </c>
      <c r="B64" s="32">
        <v>1.339E-6</v>
      </c>
      <c r="C64" s="70">
        <f>IFERROR(VLOOKUP("Tl-206",$A$4:$L$32,3)/$B64,0)</f>
        <v>0</v>
      </c>
      <c r="D64" s="71">
        <f>IFERROR(VLOOKUP("Tl-206",$A$4:$L$32,4)/$B64,0)</f>
        <v>10886250.156099135</v>
      </c>
      <c r="E64" s="72">
        <f t="shared" si="64"/>
        <v>10886250.156099135</v>
      </c>
      <c r="F64" s="70">
        <f>IFERROR(VLOOKUP("Tl-206",$A$4:$L$32,6)/$B64,0)</f>
        <v>0</v>
      </c>
      <c r="G64" s="71">
        <f>IFERROR(VLOOKUP("Tl-206",$A$4:$L$32,7)/$B64,0)</f>
        <v>402791.25577566837</v>
      </c>
      <c r="H64" s="72">
        <f t="shared" si="65"/>
        <v>402791.25577566837</v>
      </c>
      <c r="I64" s="70">
        <f>IFERROR(VLOOKUP("Tl-206",$A$4:$L$32,9)/$B64,0)</f>
        <v>0</v>
      </c>
      <c r="J64" s="71">
        <f>IFERROR(VLOOKUP("Tl-206",$A$4:$L$32,10)/$B64,0)</f>
        <v>5.0176168527700905E-11</v>
      </c>
      <c r="K64" s="72">
        <f>IFERROR(VLOOKUP("Tl-206",$A$4:$L$32,11)/$B64,0)</f>
        <v>5.0176168527700905E-11</v>
      </c>
      <c r="L64" s="69">
        <f t="shared" si="60"/>
        <v>2416747534.6540084</v>
      </c>
    </row>
    <row r="65" spans="1:12">
      <c r="A65" s="30" t="s">
        <v>31</v>
      </c>
      <c r="B65" s="30" t="s">
        <v>59</v>
      </c>
      <c r="C65" s="76">
        <f>IFERROR(1/SUM(,1/C70,1/C71,1/C74,1/C75,1/C76),0)</f>
        <v>8.1525436041081085E-4</v>
      </c>
      <c r="D65" s="77">
        <f>IFERROR(1/SUM(1/D66,1/D67,1/D68,1/D69,1/D70,1/D71,1/D72,1/D73,1/D74,1/D75,1/D76,1/D77),0)</f>
        <v>0.52437971702288488</v>
      </c>
      <c r="E65" s="77">
        <f>IFERROR(1/SUM(1/E66,1/E67,1/E68,1/E69,1/E70,1/E71,1/E72,1/E73,1/E74,1/E75,1/E76,1/E77),0)</f>
        <v>8.1398885006059112E-4</v>
      </c>
      <c r="F65" s="76">
        <f>IFERROR(1/SUM(,1/F70,1/F71,1/F74,1/F75,1/F76),0)</f>
        <v>3.016441133520003E-5</v>
      </c>
      <c r="G65" s="77">
        <f>IFERROR(1/SUM(1/G66,1/G67,1/G68,1/G69,1/G70,1/G71,1/G72,1/G73,1/G74,1/G75,1/G76,1/G77),0)</f>
        <v>1.9402049529846758E-2</v>
      </c>
      <c r="H65" s="77">
        <f>IFERROR(1/SUM(1/H66,1/H67,1/H68,1/H69,1/H70,1/H71,1/H72,1/H73,1/H74,1/H75,1/H76,1/H77),0)</f>
        <v>3.0117587452241901E-5</v>
      </c>
      <c r="I65" s="73">
        <f>IFERROR(C65*Isospec!$C$26*Isospec!$F$26*SSLcm_m,".")</f>
        <v>5.3085066554362374E-18</v>
      </c>
      <c r="J65" s="74">
        <f>IFERROR(D65*Isospec!$C$26*Isospec!$F$26*SSLcm_m,".")</f>
        <v>3.4144843044924637E-15</v>
      </c>
      <c r="K65" s="75">
        <f>IFERROR(E65*Isospec!$C$26*Isospec!$F$26*SSLcm_m,".")</f>
        <v>5.300266319115583E-18</v>
      </c>
      <c r="L65" s="68">
        <f t="shared" si="60"/>
        <v>0.18070552471345125</v>
      </c>
    </row>
    <row r="66" spans="1:12">
      <c r="A66" s="31" t="s">
        <v>191</v>
      </c>
      <c r="B66" s="32">
        <v>1</v>
      </c>
      <c r="C66" s="70">
        <f>IFERROR(VLOOKUP("Rn-222",$A$4:$L$32,3)/$B66,0)</f>
        <v>0</v>
      </c>
      <c r="D66" s="71">
        <f>IFERROR(VLOOKUP("Rn-222",$A$4:$L$32,4)/$B66,0)</f>
        <v>2398.1004416446895</v>
      </c>
      <c r="E66" s="72">
        <f t="shared" ref="E66:E67" si="66">IFERROR(IF(AND(C66&lt;&gt;0,D66&lt;&gt;0),(1/((1/C66)+(1/D66))),IF(AND(C66&lt;&gt;0,D66=0),(1/(1/C66)),IF(AND(C66=0,D66&lt;&gt;0),(1/(1/D66)),0))),0)</f>
        <v>2398.1004416446895</v>
      </c>
      <c r="F66" s="70">
        <f>IFERROR(VLOOKUP("Rn-222",$A$4:$L$32,6)/$B66,0)</f>
        <v>0</v>
      </c>
      <c r="G66" s="71">
        <f>IFERROR(VLOOKUP("Rn-222",$A$4:$L$32,7)/$B66,0)</f>
        <v>88.729716340853599</v>
      </c>
      <c r="H66" s="72">
        <f t="shared" ref="H66:H67" si="67">IFERROR(IF(AND(F66&lt;&gt;0,G66&lt;&gt;0),(1/((1/F66)+(1/G66))),IF(AND(F66&lt;&gt;0,G66=0),(1/(1/F66)),IF(AND(F66=0,G66&lt;&gt;0),(1/(1/G66)),0))),0)</f>
        <v>88.729716340853599</v>
      </c>
      <c r="I66" s="70">
        <f>IFERROR(VLOOKUP("Rn-222",$A$4:$L$32,9)/$B66,0)</f>
        <v>0</v>
      </c>
      <c r="J66" s="71">
        <f>IFERROR(VLOOKUP("Rn-222",$A$4:$L$32,10)/$B66,0)</f>
        <v>1.5615165981400622E-11</v>
      </c>
      <c r="K66" s="72">
        <f>IFERROR(VLOOKUP("Rn-222",$A$4:$L$32,11)/$B66,0)</f>
        <v>1.5615165981400622E-11</v>
      </c>
      <c r="L66" s="69">
        <f t="shared" ref="L66:L67" si="68">IF(E66&lt;&gt;".",E66*2.22*100,".")</f>
        <v>532378.29804512113</v>
      </c>
    </row>
    <row r="67" spans="1:12">
      <c r="A67" s="31" t="s">
        <v>192</v>
      </c>
      <c r="B67" s="32">
        <v>1</v>
      </c>
      <c r="C67" s="70">
        <f>IFERROR(VLOOKUP("Po-218",$A$4:$L$32,3)/$B67,0)</f>
        <v>0</v>
      </c>
      <c r="D67" s="71">
        <f>IFERROR(VLOOKUP("Po-218",$A$4:$L$32,4)/$B67,0)</f>
        <v>149054864.54332906</v>
      </c>
      <c r="E67" s="72">
        <f t="shared" si="66"/>
        <v>149054864.54332906</v>
      </c>
      <c r="F67" s="70">
        <f>IFERROR(VLOOKUP("Po-218",$A$4:$L$32,6)/$B67,0)</f>
        <v>0</v>
      </c>
      <c r="G67" s="71">
        <f>IFERROR(VLOOKUP("Po-218",$A$4:$L$32,7)/$B67,0)</f>
        <v>5515029.9881031811</v>
      </c>
      <c r="H67" s="72">
        <f t="shared" si="67"/>
        <v>5515029.9881031811</v>
      </c>
      <c r="I67" s="70">
        <f>IFERROR(VLOOKUP("Po-218",$A$4:$L$32,9)/$B67,0)</f>
        <v>0</v>
      </c>
      <c r="J67" s="71">
        <f>IFERROR(VLOOKUP("Po-218",$A$4:$L$32,10)/$B67,0)</f>
        <v>5.3662019954997778E-10</v>
      </c>
      <c r="K67" s="72">
        <f>IFERROR(VLOOKUP("Po-218",$A$4:$L$32,11)/$B67,0)</f>
        <v>5.3662019954997778E-10</v>
      </c>
      <c r="L67" s="69">
        <f t="shared" si="68"/>
        <v>33090179928.619057</v>
      </c>
    </row>
    <row r="68" spans="1:12">
      <c r="A68" s="31" t="s">
        <v>194</v>
      </c>
      <c r="B68" s="32">
        <v>2.0000000000000001E-4</v>
      </c>
      <c r="C68" s="70">
        <f>IFERROR(VLOOKUP("At-218",$A$4:$L$32,3)/$B68,0)</f>
        <v>0</v>
      </c>
      <c r="D68" s="71">
        <f>IFERROR(VLOOKUP("At-218",$A$4:$L$32,4)/$B68,0)</f>
        <v>39648593.968525544</v>
      </c>
      <c r="E68" s="72">
        <f>IFERROR(IF(AND(C68&lt;&gt;0,D68&lt;&gt;0),(1/((1/C68)+(1/D68))),IF(AND(C68&lt;&gt;0,D68=0),(1/(1/C68)),IF(AND(C68=0,D68&lt;&gt;0),(1/(1/D68)),0))),0)</f>
        <v>39648593.968525544</v>
      </c>
      <c r="F68" s="70">
        <f>IFERROR(VLOOKUP("At-218",$A$4:$L$32,6)/$B68,0)</f>
        <v>0</v>
      </c>
      <c r="G68" s="71">
        <f>IFERROR(VLOOKUP("At-218",$A$4:$L$32,7)/$B68,0)</f>
        <v>1466997.9768354464</v>
      </c>
      <c r="H68" s="72">
        <f>IFERROR(IF(AND(F68&lt;&gt;0,G68&lt;&gt;0),(1/((1/F68)+(1/G68))),IF(AND(F68&lt;&gt;0,G68=0),(1/(1/F68)),IF(AND(F68=0,G68&lt;&gt;0),(1/(1/G68)),0))),0)</f>
        <v>1466997.9768354464</v>
      </c>
      <c r="I68" s="70">
        <f>IFERROR(VLOOKUP("At-218",$A$4:$L$32,9)/$B68,0)</f>
        <v>0</v>
      </c>
      <c r="J68" s="71">
        <f>IFERROR(VLOOKUP("At-218",$A$4:$L$32,10)/$B68,0)</f>
        <v>1.1511368796797968E-12</v>
      </c>
      <c r="K68" s="72">
        <f>IFERROR(VLOOKUP("At-218",$A$4:$L$32,11)/$B68,0)</f>
        <v>1.1511368796797968E-12</v>
      </c>
      <c r="L68" s="69">
        <f>IF(E68&lt;&gt;".",E68*2.22*100,".")</f>
        <v>8801987861.0126724</v>
      </c>
    </row>
    <row r="69" spans="1:12">
      <c r="A69" s="31" t="s">
        <v>196</v>
      </c>
      <c r="B69" s="32">
        <v>1.9999999999999999E-7</v>
      </c>
      <c r="C69" s="70">
        <f>IFERROR(VLOOKUP("Rn-218",$A$4:$L$32,3)/$B69,0)</f>
        <v>0</v>
      </c>
      <c r="D69" s="71">
        <f>IFERROR(VLOOKUP("Rn-218",$A$4:$L$32,4)/$B69,0)</f>
        <v>6160865775.496026</v>
      </c>
      <c r="E69" s="72">
        <f>IFERROR(IF(AND(C69&lt;&gt;0,D69&lt;&gt;0),(1/((1/C69)+(1/D69))),IF(AND(C69&lt;&gt;0,D69=0),(1/(1/C69)),IF(AND(C69=0,D69&lt;&gt;0),(1/(1/D69)),0))),0)</f>
        <v>6160865775.496026</v>
      </c>
      <c r="F69" s="70">
        <f>IFERROR(VLOOKUP("Rn-218",$A$4:$L$32,6)/$B69,0)</f>
        <v>0</v>
      </c>
      <c r="G69" s="71">
        <f>IFERROR(VLOOKUP("Rn-218",$A$4:$L$32,7)/$B69,0)</f>
        <v>227952033.69335321</v>
      </c>
      <c r="H69" s="72">
        <f>IFERROR(IF(AND(F69&lt;&gt;0,G69&lt;&gt;0),(1/((1/F69)+(1/G69))),IF(AND(F69&lt;&gt;0,G69=0),(1/(1/F69)),IF(AND(F69=0,G69&lt;&gt;0),(1/(1/G69)),0))),0)</f>
        <v>227952033.69335321</v>
      </c>
      <c r="I69" s="70">
        <f>IFERROR(VLOOKUP("Rn-218",$A$4:$L$32,9)/$B69,0)</f>
        <v>0</v>
      </c>
      <c r="J69" s="71">
        <f>IFERROR(VLOOKUP("Rn-218",$A$4:$L$32,10)/$B69,0)</f>
        <v>4.17366617287233E-12</v>
      </c>
      <c r="K69" s="72">
        <f>IFERROR(VLOOKUP("Rn-218",$A$4:$L$32,11)/$B69,0)</f>
        <v>4.17366617287233E-12</v>
      </c>
      <c r="L69" s="69">
        <f>IF(E69&lt;&gt;".",E69*2.22*100,".")</f>
        <v>1367712202160.1179</v>
      </c>
    </row>
    <row r="70" spans="1:12">
      <c r="A70" s="31" t="s">
        <v>193</v>
      </c>
      <c r="B70" s="32">
        <v>0.99980000000000002</v>
      </c>
      <c r="C70" s="70">
        <f>IFERROR(VLOOKUP("Pb-214",$A$4:$L$32,3)/$B70,0)</f>
        <v>11.359084441173108</v>
      </c>
      <c r="D70" s="71">
        <f>IFERROR(VLOOKUP("Pb-214",$A$4:$L$32,4)/$B70,0)</f>
        <v>3.6719004882944675</v>
      </c>
      <c r="E70" s="72">
        <f t="shared" ref="E70:E75" si="69">IFERROR(IF(AND(C70&lt;&gt;0,D70&lt;&gt;0),(1/((1/C70)+(1/D70))),IF(AND(C70&lt;&gt;0,D70=0),(1/(1/C70)),IF(AND(C70=0,D70&lt;&gt;0),(1/(1/D70)),0))),0)</f>
        <v>2.7748965155538245</v>
      </c>
      <c r="F70" s="70">
        <f>IFERROR(VLOOKUP("Pb-214",$A$4:$L$32,6)/$B70,0)</f>
        <v>0.4202861243234054</v>
      </c>
      <c r="G70" s="71">
        <f>IFERROR(VLOOKUP("Pb-214",$A$4:$L$32,7)/$B70,0)</f>
        <v>0.13586031806689544</v>
      </c>
      <c r="H70" s="72">
        <f t="shared" ref="H70:H75" si="70">IFERROR(IF(AND(F70&lt;&gt;0,G70&lt;&gt;0),(1/((1/F70)+(1/G70))),IF(AND(F70&lt;&gt;0,G70=0),(1/(1/F70)),IF(AND(F70=0,G70&lt;&gt;0),(1/(1/G70)),0))),0)</f>
        <v>0.10267117107549162</v>
      </c>
      <c r="I70" s="70">
        <f>IFERROR(VLOOKUP("Pb-214",$A$4:$L$32,9)/$B70,0)</f>
        <v>3.4705201492321767E-16</v>
      </c>
      <c r="J70" s="71">
        <f>IFERROR(VLOOKUP("Pb-214",$A$4:$L$32,10)/$B70,0)</f>
        <v>1.1218689936321436E-16</v>
      </c>
      <c r="K70" s="72">
        <f>IFERROR(VLOOKUP("Pb-214",$A$4:$L$32,11)/$B70,0)</f>
        <v>8.4780902185714664E-17</v>
      </c>
      <c r="L70" s="69">
        <f t="shared" ref="L70:L75" si="71">IF(E70&lt;&gt;".",E70*2.22*100,".")</f>
        <v>616.02702645294914</v>
      </c>
    </row>
    <row r="71" spans="1:12">
      <c r="A71" s="31" t="s">
        <v>195</v>
      </c>
      <c r="B71" s="32">
        <v>0.99999979999999999</v>
      </c>
      <c r="C71" s="70">
        <f>IFERROR(VLOOKUP("Bi-214",$A$4:$L$32,3)/$B71,0)</f>
        <v>15.167826605596796</v>
      </c>
      <c r="D71" s="71">
        <f>IFERROR(VLOOKUP("Bi-214",$A$4:$L$32,4)/$B71,0)</f>
        <v>0.62823488923276971</v>
      </c>
      <c r="E71" s="72">
        <f t="shared" si="69"/>
        <v>0.60324897257382915</v>
      </c>
      <c r="F71" s="70">
        <f>IFERROR(VLOOKUP("Bi-214",$A$4:$L$32,6)/$B71,0)</f>
        <v>0.56120958440708202</v>
      </c>
      <c r="G71" s="71">
        <f>IFERROR(VLOOKUP("Bi-214",$A$4:$L$32,7)/$B71,0)</f>
        <v>2.3244690901612502E-2</v>
      </c>
      <c r="H71" s="72">
        <f t="shared" si="70"/>
        <v>2.2320211985231701E-2</v>
      </c>
      <c r="I71" s="70">
        <f>IFERROR(VLOOKUP("Bi-214",$A$4:$L$32,9)/$B71,0)</f>
        <v>3.4410650279921048E-16</v>
      </c>
      <c r="J71" s="71">
        <f>IFERROR(VLOOKUP("Bi-214",$A$4:$L$32,10)/$B71,0)</f>
        <v>1.4252517271694635E-17</v>
      </c>
      <c r="K71" s="72">
        <f>IFERROR(VLOOKUP("Bi-214",$A$4:$L$32,11)/$B71,0)</f>
        <v>1.3685671630304718E-17</v>
      </c>
      <c r="L71" s="69">
        <f t="shared" si="71"/>
        <v>133.92127191139008</v>
      </c>
    </row>
    <row r="72" spans="1:12">
      <c r="A72" s="31" t="s">
        <v>197</v>
      </c>
      <c r="B72" s="32">
        <v>0.99979000004200003</v>
      </c>
      <c r="C72" s="70">
        <f>IFERROR(VLOOKUP("Po-214",$A$4:$L$32,3)/$B72,0)</f>
        <v>0</v>
      </c>
      <c r="D72" s="71">
        <f>IFERROR(VLOOKUP("Po-214",$A$4:$L$32,4)/$B72,0)</f>
        <v>11337.74769009432</v>
      </c>
      <c r="E72" s="72">
        <f t="shared" si="69"/>
        <v>11337.74769009432</v>
      </c>
      <c r="F72" s="70">
        <f>IFERROR(VLOOKUP("Po-214",$A$4:$L$32,6)/$B72,0)</f>
        <v>0</v>
      </c>
      <c r="G72" s="71">
        <f>IFERROR(VLOOKUP("Po-214",$A$4:$L$32,7)/$B72,0)</f>
        <v>419.49666453349028</v>
      </c>
      <c r="H72" s="72">
        <f t="shared" si="70"/>
        <v>419.49666453349033</v>
      </c>
      <c r="I72" s="70">
        <f>IFERROR(VLOOKUP("Po-214",$A$4:$L$32,9)/$B72,0)</f>
        <v>0</v>
      </c>
      <c r="J72" s="71">
        <f>IFERROR(VLOOKUP("Po-214",$A$4:$L$32,10)/$B72,0)</f>
        <v>3.5393992064088898E-20</v>
      </c>
      <c r="K72" s="72">
        <f>IFERROR(VLOOKUP("Po-214",$A$4:$L$32,11)/$B72,0)</f>
        <v>3.5393992064088898E-20</v>
      </c>
      <c r="L72" s="69">
        <f t="shared" si="71"/>
        <v>2516979.9872009391</v>
      </c>
    </row>
    <row r="73" spans="1:12">
      <c r="A73" s="31" t="s">
        <v>198</v>
      </c>
      <c r="B73" s="32">
        <v>2.0999995799999999E-4</v>
      </c>
      <c r="C73" s="70">
        <f>IFERROR(VLOOKUP("Tl-210",$A$4:$L$32,3)/$B73,0)</f>
        <v>0</v>
      </c>
      <c r="D73" s="71">
        <f>IFERROR(VLOOKUP("Tl-210",$A$4:$L$32,4)/$B73,0)</f>
        <v>1609.1153367794609</v>
      </c>
      <c r="E73" s="72">
        <f t="shared" si="69"/>
        <v>1609.1153367794609</v>
      </c>
      <c r="F73" s="70">
        <f>IFERROR(VLOOKUP("Tl-210",$A$4:$L$32,6)/$B73,0)</f>
        <v>0</v>
      </c>
      <c r="G73" s="71">
        <f>IFERROR(VLOOKUP("Tl-210",$A$4:$L$32,7)/$B73,0)</f>
        <v>59.537267460840113</v>
      </c>
      <c r="H73" s="72">
        <f t="shared" si="70"/>
        <v>59.53726746084012</v>
      </c>
      <c r="I73" s="70">
        <f>IFERROR(VLOOKUP("Tl-210",$A$4:$L$32,9)/$B73,0)</f>
        <v>0</v>
      </c>
      <c r="J73" s="71">
        <f>IFERROR(VLOOKUP("Tl-210",$A$4:$L$32,10)/$B73,0)</f>
        <v>2.3401974190148422E-15</v>
      </c>
      <c r="K73" s="72">
        <f>IFERROR(VLOOKUP("Tl-210",$A$4:$L$32,11)/$B73,0)</f>
        <v>2.3401974190148422E-15</v>
      </c>
      <c r="L73" s="69">
        <f t="shared" si="71"/>
        <v>357223.60476504033</v>
      </c>
    </row>
    <row r="74" spans="1:12">
      <c r="A74" s="31" t="s">
        <v>199</v>
      </c>
      <c r="B74" s="32">
        <v>1</v>
      </c>
      <c r="C74" s="70">
        <f>IFERROR(VLOOKUP("Pb-210",$A$4:$L$32,3)/$B74,0)</f>
        <v>2.2156918747379315E-3</v>
      </c>
      <c r="D74" s="71">
        <f>IFERROR(VLOOKUP("Pb-210",$A$4:$L$32,4)/$B74,0)</f>
        <v>411.10293285337531</v>
      </c>
      <c r="E74" s="72">
        <f t="shared" si="69"/>
        <v>2.2156799330473416E-3</v>
      </c>
      <c r="F74" s="70">
        <f>IFERROR(VLOOKUP("Pb-210",$A$4:$L$32,6)/$B74,0)</f>
        <v>8.1980599365303548E-5</v>
      </c>
      <c r="G74" s="71">
        <f>IFERROR(VLOOKUP("Pb-210",$A$4:$L$32,7)/$B74,0)</f>
        <v>15.210808515574902</v>
      </c>
      <c r="H74" s="72">
        <f t="shared" si="70"/>
        <v>8.198015752275173E-5</v>
      </c>
      <c r="I74" s="70">
        <f>IFERROR(VLOOKUP("Pb-210",$A$4:$L$32,9)/$B74,0)</f>
        <v>2.8922755456079062E-14</v>
      </c>
      <c r="J74" s="71">
        <f>IFERROR(VLOOKUP("Pb-210",$A$4:$L$32,10)/$B74,0)</f>
        <v>5.3663732442948201E-9</v>
      </c>
      <c r="K74" s="72">
        <f>IFERROR(VLOOKUP("Pb-210",$A$4:$L$32,11)/$B74,0)</f>
        <v>2.8922599574026777E-14</v>
      </c>
      <c r="L74" s="69">
        <f t="shared" si="71"/>
        <v>0.49188094513650987</v>
      </c>
    </row>
    <row r="75" spans="1:12">
      <c r="A75" s="31" t="s">
        <v>200</v>
      </c>
      <c r="B75" s="32">
        <v>1</v>
      </c>
      <c r="C75" s="70">
        <f>IFERROR(VLOOKUP("Bi-210",$A$4:$L$32,3)/$B75,0)</f>
        <v>1.2555587290181611</v>
      </c>
      <c r="D75" s="71">
        <f>IFERROR(VLOOKUP("Bi-210",$A$4:$L$32,4)/$B75,0)</f>
        <v>25.415765364439448</v>
      </c>
      <c r="E75" s="72">
        <f t="shared" si="69"/>
        <v>1.1964530124631891</v>
      </c>
      <c r="F75" s="70">
        <f>IFERROR(VLOOKUP("Bi-210",$A$4:$L$32,6)/$B75,0)</f>
        <v>4.6455672973672008E-2</v>
      </c>
      <c r="G75" s="71">
        <f>IFERROR(VLOOKUP("Bi-210",$A$4:$L$32,7)/$B75,0)</f>
        <v>0.94038331848426049</v>
      </c>
      <c r="H75" s="72">
        <f t="shared" si="70"/>
        <v>4.4268761461138041E-2</v>
      </c>
      <c r="I75" s="70">
        <f>IFERROR(VLOOKUP("Bi-210",$A$4:$L$32,9)/$B75,0)</f>
        <v>1.0139562066405159E-14</v>
      </c>
      <c r="J75" s="71">
        <f>IFERROR(VLOOKUP("Bi-210",$A$4:$L$32,10)/$B75,0)</f>
        <v>2.0525103638875404E-13</v>
      </c>
      <c r="K75" s="72">
        <f>IFERROR(VLOOKUP("Bi-210",$A$4:$L$32,11)/$B75,0)</f>
        <v>9.6622398451203437E-15</v>
      </c>
      <c r="L75" s="69">
        <f t="shared" si="71"/>
        <v>265.61256876682802</v>
      </c>
    </row>
    <row r="76" spans="1:12">
      <c r="A76" s="31" t="s">
        <v>202</v>
      </c>
      <c r="B76" s="32">
        <v>1</v>
      </c>
      <c r="C76" s="70">
        <f>IFERROR(VLOOKUP("Po-210",$A$4:$L$32,3)/$B76,0)</f>
        <v>1.2914318355615371E-3</v>
      </c>
      <c r="D76" s="71">
        <f>IFERROR(VLOOKUP("Po-210",$A$4:$L$32,4)/$B76,0)</f>
        <v>96756.330183495069</v>
      </c>
      <c r="E76" s="72">
        <f>IFERROR(IF(AND(C76&lt;&gt;0,D76&lt;&gt;0),(1/((1/C76)+(1/D76))),IF(AND(C76&lt;&gt;0,D76=0),(1/(1/C76)),IF(AND(C76=0,D76&lt;&gt;0),(1/(1/D76)),0))),0)</f>
        <v>1.2914318183244616E-3</v>
      </c>
      <c r="F76" s="70">
        <f>IFERROR(VLOOKUP("Po-210",$A$4:$L$32,6)/$B76,0)</f>
        <v>4.7782977915776918E-5</v>
      </c>
      <c r="G76" s="71">
        <f>IFERROR(VLOOKUP("Po-210",$A$4:$L$32,7)/$B76,0)</f>
        <v>3579.9842167893212</v>
      </c>
      <c r="H76" s="72">
        <f>IFERROR(IF(AND(F76&lt;&gt;0,G76&lt;&gt;0),(1/((1/F76)+(1/G76))),IF(AND(F76&lt;&gt;0,G76=0),(1/(1/F76)),IF(AND(F76=0,G76&lt;&gt;0),(1/(1/G76)),0))),0)</f>
        <v>4.7782977278005128E-5</v>
      </c>
      <c r="I76" s="70">
        <f>IFERROR(VLOOKUP("Po-210",$A$4:$L$32,9)/$B76,0)</f>
        <v>2.8788346560675367E-16</v>
      </c>
      <c r="J76" s="71">
        <f>IFERROR(VLOOKUP("Po-210",$A$4:$L$32,10)/$B76,0)</f>
        <v>2.1568732383389221E-8</v>
      </c>
      <c r="K76" s="72">
        <f>IFERROR(VLOOKUP("Po-210",$A$4:$L$32,11)/$B76,0)</f>
        <v>2.8788346176429838E-16</v>
      </c>
      <c r="L76" s="69">
        <f>IF(E76&lt;&gt;".",E76*2.22*100,".")</f>
        <v>0.28669786366803052</v>
      </c>
    </row>
    <row r="77" spans="1:12">
      <c r="A77" s="31" t="s">
        <v>201</v>
      </c>
      <c r="B77" s="34">
        <v>1.9000000000000001E-8</v>
      </c>
      <c r="C77" s="70">
        <f>IFERROR(VLOOKUP("Hg-206",$A$4:$L$32,3)/$B77,0)</f>
        <v>0</v>
      </c>
      <c r="D77" s="71">
        <f>IFERROR(VLOOKUP("Hg-206",$A$4:$L$32,4)/$B77,0)</f>
        <v>315115988.7996555</v>
      </c>
      <c r="E77" s="72">
        <f t="shared" ref="E77:E78" si="72">IFERROR(IF(AND(C77&lt;&gt;0,D77&lt;&gt;0),(1/((1/C77)+(1/D77))),IF(AND(C77&lt;&gt;0,D77=0),(1/(1/C77)),IF(AND(C77=0,D77&lt;&gt;0),(1/(1/D77)),0))),0)</f>
        <v>315115988.7996555</v>
      </c>
      <c r="F77" s="70">
        <f>IFERROR(VLOOKUP("Hg-206",$A$4:$L$32,6)/$B77,0)</f>
        <v>0</v>
      </c>
      <c r="G77" s="71">
        <f>IFERROR(VLOOKUP("Hg-206",$A$4:$L$32,7)/$B77,0)</f>
        <v>11659291.585587265</v>
      </c>
      <c r="H77" s="72">
        <f t="shared" ref="H77:H78" si="73">IFERROR(IF(AND(F77&lt;&gt;0,G77&lt;&gt;0),(1/((1/F77)+(1/G77))),IF(AND(F77&lt;&gt;0,G77=0),(1/(1/F77)),IF(AND(F77=0,G77&lt;&gt;0),(1/(1/G77)),0))),0)</f>
        <v>11659291.585587265</v>
      </c>
      <c r="I77" s="70">
        <f>IFERROR(VLOOKUP("Hg-206",$A$4:$L$32,9)/$B77,0)</f>
        <v>0</v>
      </c>
      <c r="J77" s="71">
        <f>IFERROR(VLOOKUP("Hg-206",$A$4:$L$32,10)/$B77,0)</f>
        <v>2.8183695853654635E-9</v>
      </c>
      <c r="K77" s="72">
        <f>IFERROR(VLOOKUP("Hg-206",$A$4:$L$32,11)/$B77,0)</f>
        <v>2.8183695853654635E-9</v>
      </c>
      <c r="L77" s="69">
        <f t="shared" ref="L77:L78" si="74">IF(E77&lt;&gt;".",E77*2.22*100,".")</f>
        <v>69955749513.523529</v>
      </c>
    </row>
    <row r="78" spans="1:12">
      <c r="A78" s="31" t="s">
        <v>203</v>
      </c>
      <c r="B78" s="32">
        <v>1.339E-6</v>
      </c>
      <c r="C78" s="70">
        <f>IFERROR(VLOOKUP("Tl-206",$A$4:$L$32,3)/$B78,0)</f>
        <v>0</v>
      </c>
      <c r="D78" s="71">
        <f>IFERROR(VLOOKUP("Tl-206",$A$4:$L$32,4)/$B78,0)</f>
        <v>10886250.156099135</v>
      </c>
      <c r="E78" s="72">
        <f t="shared" si="72"/>
        <v>10886250.156099135</v>
      </c>
      <c r="F78" s="70">
        <f>IFERROR(VLOOKUP("Tl-206",$A$4:$L$32,6)/$B78,0)</f>
        <v>0</v>
      </c>
      <c r="G78" s="71">
        <f>IFERROR(VLOOKUP("Tl-206",$A$4:$L$32,7)/$B78,0)</f>
        <v>402791.25577566837</v>
      </c>
      <c r="H78" s="72">
        <f t="shared" si="73"/>
        <v>402791.25577566837</v>
      </c>
      <c r="I78" s="70">
        <f>IFERROR(VLOOKUP("Tl-206",$A$4:$L$32,9)/$B78,0)</f>
        <v>0</v>
      </c>
      <c r="J78" s="71">
        <f>IFERROR(VLOOKUP("Tl-206",$A$4:$L$32,10)/$B78,0)</f>
        <v>5.0176168527700905E-11</v>
      </c>
      <c r="K78" s="72">
        <f>IFERROR(VLOOKUP("Tl-206",$A$4:$L$32,11)/$B78,0)</f>
        <v>5.0176168527700905E-11</v>
      </c>
      <c r="L78" s="69">
        <f t="shared" si="74"/>
        <v>2416747534.6540084</v>
      </c>
    </row>
  </sheetData>
  <sheetProtection algorithmName="SHA-512" hashValue="Et84/pRk3gotVjzQjhXR23zgBWzFHVm5Ppw57rCTxxWh11ssx5fDdt6sassikeegNWa1jKFjEiraYph19u0IQg==" saltValue="z0UNZkTnbb72YKrQP/AroQ==" spinCount="100000" sheet="1" formatCells="0" formatColumns="0" formatRows="0" insertColumns="0" insertRows="0" autoFilter="0"/>
  <autoFilter ref="A2:K77" xr:uid="{00000000-0009-0000-0000-000004000000}"/>
  <mergeCells count="3">
    <mergeCell ref="C1:E1"/>
    <mergeCell ref="F1:H1"/>
    <mergeCell ref="I1:K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499984740745262"/>
  </sheetPr>
  <dimension ref="A1:K78"/>
  <sheetViews>
    <sheetView zoomScaleNormal="100" workbookViewId="0">
      <pane xSplit="2" ySplit="3" topLeftCell="C4" activePane="bottomRight" state="frozen"/>
      <selection activeCell="I6" sqref="I6"/>
      <selection pane="topRight" activeCell="I6" sqref="I6"/>
      <selection pane="bottomLeft" activeCell="I6" sqref="I6"/>
      <selection pane="bottomRight" activeCell="C4" sqref="C4"/>
    </sheetView>
  </sheetViews>
  <sheetFormatPr defaultColWidth="12.7109375" defaultRowHeight="12.75"/>
  <cols>
    <col min="1" max="1" width="12.5703125" style="22" bestFit="1" customWidth="1"/>
    <col min="2" max="2" width="12" style="22" bestFit="1" customWidth="1"/>
    <col min="3" max="3" width="12.28515625" style="22" bestFit="1" customWidth="1"/>
    <col min="4" max="4" width="12.85546875" style="22" bestFit="1" customWidth="1"/>
    <col min="5" max="5" width="12" style="22" bestFit="1" customWidth="1"/>
    <col min="6" max="6" width="12.28515625" style="22" bestFit="1" customWidth="1"/>
    <col min="7" max="7" width="12.85546875" style="22" bestFit="1" customWidth="1"/>
    <col min="8" max="8" width="12" style="22" bestFit="1" customWidth="1"/>
    <col min="9" max="9" width="12.28515625" style="22" bestFit="1" customWidth="1"/>
    <col min="10" max="10" width="12.85546875" style="22" bestFit="1" customWidth="1"/>
    <col min="11" max="11" width="12" style="22" bestFit="1" customWidth="1"/>
  </cols>
  <sheetData>
    <row r="1" spans="1:11" ht="13.5" thickBot="1">
      <c r="C1" s="146" t="s">
        <v>61</v>
      </c>
      <c r="D1" s="147"/>
      <c r="E1" s="147"/>
      <c r="F1" s="146" t="s">
        <v>138</v>
      </c>
      <c r="G1" s="147"/>
      <c r="H1" s="147"/>
      <c r="I1" s="146" t="s">
        <v>139</v>
      </c>
      <c r="J1" s="147"/>
      <c r="K1" s="147"/>
    </row>
    <row r="2" spans="1:11">
      <c r="A2" s="11" t="s">
        <v>0</v>
      </c>
      <c r="B2" s="11" t="s">
        <v>43</v>
      </c>
      <c r="C2" s="35" t="s">
        <v>205</v>
      </c>
      <c r="D2" s="36" t="s">
        <v>206</v>
      </c>
      <c r="E2" s="37" t="s">
        <v>207</v>
      </c>
      <c r="F2" s="36" t="s">
        <v>205</v>
      </c>
      <c r="G2" s="36" t="s">
        <v>206</v>
      </c>
      <c r="H2" s="38" t="s">
        <v>207</v>
      </c>
      <c r="I2" s="36" t="s">
        <v>205</v>
      </c>
      <c r="J2" s="36" t="s">
        <v>206</v>
      </c>
      <c r="K2" s="37" t="s">
        <v>207</v>
      </c>
    </row>
    <row r="3" spans="1:11" ht="13.5" thickBot="1">
      <c r="B3" s="26" t="s">
        <v>44</v>
      </c>
      <c r="C3" s="27" t="s">
        <v>143</v>
      </c>
      <c r="D3" s="28" t="s">
        <v>143</v>
      </c>
      <c r="E3" s="29" t="s">
        <v>143</v>
      </c>
      <c r="F3" s="28" t="s">
        <v>144</v>
      </c>
      <c r="G3" s="28" t="s">
        <v>144</v>
      </c>
      <c r="H3" s="39" t="s">
        <v>144</v>
      </c>
      <c r="I3" s="28" t="s">
        <v>145</v>
      </c>
      <c r="J3" s="28" t="s">
        <v>145</v>
      </c>
      <c r="K3" s="29" t="s">
        <v>145</v>
      </c>
    </row>
    <row r="4" spans="1:11">
      <c r="A4" s="87" t="s">
        <v>23</v>
      </c>
      <c r="B4" s="12" t="s">
        <v>59</v>
      </c>
      <c r="C4" s="2">
        <f>IFERROR((DL)/(Doses!H2*IFAres_adj*Fin*Fi),".")</f>
        <v>4.7524141907658024E-3</v>
      </c>
      <c r="D4" s="3">
        <f>IFERROR((DL)/(Doses!J2*GSFa*Fin*Fi*ETres*(1/24)*EFres*(1/365)),".")</f>
        <v>15779.84372091705</v>
      </c>
      <c r="E4" s="5">
        <f t="shared" ref="E4" si="0">IFERROR(IF(AND(ISNUMBER(C4),ISNUMBER(D4)),(1/((1/C4)+(1/D4))),IF(AND(ISNUMBER(C4),NOT(ISNUMBER(D4))),(1/(1/C4)),IF(AND(NOT(ISNUMBER(C4)),ISNUMBER(D4)),(1/(1/D4)),"."))),".")</f>
        <v>4.7524127594820555E-3</v>
      </c>
      <c r="F4" s="3">
        <f t="shared" ref="F4:F5" si="1">IFERROR(C4/_1_bq,".")</f>
        <v>1.7583932505833486E-4</v>
      </c>
      <c r="G4" s="3">
        <f t="shared" ref="G4:G5" si="2">IFERROR(D4/_1_bq,".")</f>
        <v>583.85421767393143</v>
      </c>
      <c r="H4" s="4">
        <f t="shared" ref="H4:H5" si="3">IFERROR(E4/_1_bq,".")</f>
        <v>1.7583927210083623E-4</v>
      </c>
      <c r="I4" s="3">
        <f>IFERROR(C4*Isospec!C3*Isospec!F3*SSLcm_m,".")</f>
        <v>8.2027970963904081E-17</v>
      </c>
      <c r="J4" s="3">
        <f>IFERROR(D4*Isospec!C3*Isospec!F3*SSLcm_m,".")</f>
        <v>2.723644258678873E-10</v>
      </c>
      <c r="K4" s="5">
        <f>IFERROR(E4*Isospec!C3*Isospec!F3*SSLcm_m,".")</f>
        <v>8.2027946259554485E-17</v>
      </c>
    </row>
    <row r="5" spans="1:11">
      <c r="A5" s="88" t="s">
        <v>14</v>
      </c>
      <c r="B5" s="12" t="s">
        <v>44</v>
      </c>
      <c r="C5" s="2">
        <f>IFERROR((DL)/(Doses!H3*IFAres_adj*Fin*Fi),".")</f>
        <v>4.4472132794322187E-4</v>
      </c>
      <c r="D5" s="3">
        <f>IFERROR((DL)/(Doses!J3*GSFa*Fin*Fi*ETres*(1/24)*EFres*(1/365)),".")</f>
        <v>13290.761229224776</v>
      </c>
      <c r="E5" s="5">
        <f t="shared" ref="E5" si="4">IFERROR(IF(AND(ISNUMBER(C5),ISNUMBER(D5)),(1/((1/C5)+(1/D5))),IF(AND(ISNUMBER(C5),NOT(ISNUMBER(D5))),(1/(1/C5)),IF(AND(NOT(ISNUMBER(C5)),ISNUMBER(D5)),(1/(1/D5)),"."))),".")</f>
        <v>4.447213130624299E-4</v>
      </c>
      <c r="F5" s="3">
        <f t="shared" si="1"/>
        <v>1.6454689133899226E-5</v>
      </c>
      <c r="G5" s="3">
        <f t="shared" si="2"/>
        <v>491.75816548131718</v>
      </c>
      <c r="H5" s="4">
        <f t="shared" si="3"/>
        <v>1.6454688583309924E-5</v>
      </c>
      <c r="I5" s="3">
        <f>IFERROR(C5*Isospec!C4*Isospec!F4*SSLcm_m,".")</f>
        <v>1.297023348959284E-13</v>
      </c>
      <c r="J5" s="3">
        <f>IFERROR(D5*Isospec!C4*Isospec!F4*SSLcm_m,".")</f>
        <v>3.8762313738072364E-6</v>
      </c>
      <c r="K5" s="5">
        <f>IFERROR(E5*Isospec!C4*Isospec!F4*SSLcm_m,".")</f>
        <v>1.2970233055596687E-13</v>
      </c>
    </row>
    <row r="6" spans="1:11">
      <c r="A6" s="87" t="s">
        <v>15</v>
      </c>
      <c r="B6" s="12" t="s">
        <v>59</v>
      </c>
      <c r="C6" s="2" t="str">
        <f>IFERROR((DL)/(Doses!H4*IFAres_adj*Fin*Fi),".")</f>
        <v>.</v>
      </c>
      <c r="D6" s="3">
        <f>IFERROR((DL)/(Doses!J4*GSFa*Fin*Fi*ETres*(1/24)*EFres*(1/365)),".")</f>
        <v>842584.10811689147</v>
      </c>
      <c r="E6" s="5">
        <f t="shared" ref="E6:E8" si="5">IFERROR(IF(AND(ISNUMBER(C6),ISNUMBER(D6)),(1/((1/C6)+(1/D6))),IF(AND(ISNUMBER(C6),NOT(ISNUMBER(D6))),(1/(1/C6)),IF(AND(NOT(ISNUMBER(C6)),ISNUMBER(D6)),(1/(1/D6)),"."))),".")</f>
        <v>842584.10811689147</v>
      </c>
      <c r="F6" s="3" t="str">
        <f t="shared" ref="F6:F7" si="6">IFERROR(C6/_1_bq,".")</f>
        <v>.</v>
      </c>
      <c r="G6" s="3">
        <f t="shared" ref="G6:G7" si="7">IFERROR(D6/_1_bq,".")</f>
        <v>31175.612000325014</v>
      </c>
      <c r="H6" s="4">
        <f t="shared" ref="H6:H7" si="8">IFERROR(E6/_1_bq,".")</f>
        <v>31175.612000325014</v>
      </c>
      <c r="I6" s="3" t="str">
        <f>IFERROR(C6*Isospec!C5*Isospec!F5*SSLcm_m,".")</f>
        <v>.</v>
      </c>
      <c r="J6" s="3">
        <f>IFERROR(D6*Isospec!C5*Isospec!F5*SSLcm_m,".")</f>
        <v>5.2435684811535872E-16</v>
      </c>
      <c r="K6" s="5">
        <f>IFERROR(E6*Isospec!C5*Isospec!F5*SSLcm_m,".")</f>
        <v>5.2435684811535872E-16</v>
      </c>
    </row>
    <row r="7" spans="1:11">
      <c r="A7" s="87" t="s">
        <v>16</v>
      </c>
      <c r="B7" s="89" t="s">
        <v>59</v>
      </c>
      <c r="C7" s="2" t="str">
        <f>IFERROR((DL)/(Doses!H5*IFAres_adj*Fin*Fi),".")</f>
        <v>.</v>
      </c>
      <c r="D7" s="3">
        <f>IFERROR((DL)/(Doses!J5*GSFa*Fin*Fi*ETres*(1/24)*EFres*(1/365)),".")</f>
        <v>9113664.8428969868</v>
      </c>
      <c r="E7" s="5">
        <f t="shared" si="5"/>
        <v>9113664.8428969868</v>
      </c>
      <c r="F7" s="3" t="str">
        <f t="shared" si="6"/>
        <v>.</v>
      </c>
      <c r="G7" s="3">
        <f t="shared" si="7"/>
        <v>337205.59918718884</v>
      </c>
      <c r="H7" s="4">
        <f t="shared" si="8"/>
        <v>337205.59918718884</v>
      </c>
      <c r="I7" s="3" t="str">
        <f>IFERROR(C7*Isospec!C6*Isospec!F6*SSLcm_m,".")</f>
        <v>.</v>
      </c>
      <c r="J7" s="3">
        <f>IFERROR(D7*Isospec!C6*Isospec!F6*SSLcm_m,".")</f>
        <v>2.6460145643570845E-13</v>
      </c>
      <c r="K7" s="5">
        <f>IFERROR(E7*Isospec!C6*Isospec!F6*SSLcm_m,".")</f>
        <v>2.6460145643570845E-13</v>
      </c>
    </row>
    <row r="8" spans="1:11">
      <c r="A8" s="87" t="s">
        <v>18</v>
      </c>
      <c r="B8" s="12" t="s">
        <v>59</v>
      </c>
      <c r="C8" s="2" t="str">
        <f>IFERROR((DL)/(Doses!H6*IFAres_adj*Fin*Fi),".")</f>
        <v>.</v>
      </c>
      <c r="D8" s="3">
        <f>IFERROR((DL)/(Doses!J6*GSFa*Fin*Fi*ETres*(1/24)*EFres*(1/365)),".")</f>
        <v>332.02199055907238</v>
      </c>
      <c r="E8" s="5">
        <f t="shared" si="5"/>
        <v>332.02199055907238</v>
      </c>
      <c r="F8" s="3" t="str">
        <f t="shared" ref="F8:F11" si="9">IFERROR(C8/_1_bq,".")</f>
        <v>.</v>
      </c>
      <c r="G8" s="3">
        <f t="shared" ref="G8:G11" si="10">IFERROR(D8/_1_bq,".")</f>
        <v>12.28481365068569</v>
      </c>
      <c r="H8" s="4">
        <f t="shared" ref="H8:H11" si="11">IFERROR(E8/_1_bq,".")</f>
        <v>12.28481365068569</v>
      </c>
      <c r="I8" s="3" t="str">
        <f>IFERROR(C8*Isospec!C7*Isospec!F7*SSLcm_m,".")</f>
        <v>.</v>
      </c>
      <c r="J8" s="3">
        <f>IFERROR(D8*Isospec!C7*Isospec!F7*SSLcm_m,".")</f>
        <v>6.184018226716669E-16</v>
      </c>
      <c r="K8" s="5">
        <f>IFERROR(E8*Isospec!C7*Isospec!F7*SSLcm_m,".")</f>
        <v>6.184018226716669E-16</v>
      </c>
    </row>
    <row r="9" spans="1:11">
      <c r="A9" s="87" t="s">
        <v>19</v>
      </c>
      <c r="B9" s="90" t="s">
        <v>59</v>
      </c>
      <c r="C9" s="2">
        <f>IFERROR((DL)/(Doses!H7*IFAres_adj*Fin*Fi),".")</f>
        <v>0.29881617993993198</v>
      </c>
      <c r="D9" s="3">
        <f>IFERROR((DL)/(Doses!J7*GSFa*Fin*Fi*ETres*(1/24)*EFres*(1/365)),".")</f>
        <v>34617.796690073825</v>
      </c>
      <c r="E9" s="5">
        <f t="shared" ref="E9:E11" si="12">IFERROR(IF(AND(ISNUMBER(C9),ISNUMBER(D9)),(1/((1/C9)+(1/D9))),IF(AND(ISNUMBER(C9),NOT(ISNUMBER(D9))),(1/(1/C9)),IF(AND(NOT(ISNUMBER(C9)),ISNUMBER(D9)),(1/(1/D9)),"."))),".")</f>
        <v>0.29881360062099233</v>
      </c>
      <c r="F9" s="3">
        <f t="shared" si="9"/>
        <v>1.1056198657777494E-2</v>
      </c>
      <c r="G9" s="3">
        <f t="shared" si="10"/>
        <v>1280.8584775327329</v>
      </c>
      <c r="H9" s="4">
        <f t="shared" si="11"/>
        <v>1.1056103222976727E-2</v>
      </c>
      <c r="I9" s="3">
        <f>IFERROR(C9*Isospec!C8*Isospec!F8*SSLcm_m,".")</f>
        <v>2.4131608764461124E-15</v>
      </c>
      <c r="J9" s="3">
        <f>IFERROR(D9*Isospec!C8*Isospec!F8*SSLcm_m,".")</f>
        <v>2.7956422111428088E-10</v>
      </c>
      <c r="K9" s="5">
        <f>IFERROR(E9*Isospec!C8*Isospec!F8*SSLcm_m,".")</f>
        <v>2.4131400465447518E-15</v>
      </c>
    </row>
    <row r="10" spans="1:11">
      <c r="A10" s="87" t="s">
        <v>20</v>
      </c>
      <c r="B10" s="12" t="s">
        <v>59</v>
      </c>
      <c r="C10" s="2">
        <f>IFERROR((DL)/(Doses!H8*IFAres_adj*Fin*Fi),".")</f>
        <v>1.2289341484853542</v>
      </c>
      <c r="D10" s="3">
        <f>IFERROR((DL)/(Doses!J8*GSFa*Fin*Fi*ETres*(1/24)*EFres*(1/365)),".")</f>
        <v>1503.6012703769438</v>
      </c>
      <c r="E10" s="5">
        <f t="shared" si="12"/>
        <v>1.2279305275208285</v>
      </c>
      <c r="F10" s="3">
        <f t="shared" si="9"/>
        <v>4.5470563493958151E-2</v>
      </c>
      <c r="G10" s="3">
        <f t="shared" si="10"/>
        <v>55.633247003946977</v>
      </c>
      <c r="H10" s="4">
        <f t="shared" si="11"/>
        <v>4.5433429518270702E-2</v>
      </c>
      <c r="I10" s="3">
        <f>IFERROR(C10*Isospec!C9*Isospec!F9*SSLcm_m,".")</f>
        <v>6.3574138336153928E-17</v>
      </c>
      <c r="J10" s="3">
        <f>IFERROR(D10*Isospec!C9*Isospec!F9*SSLcm_m,".")</f>
        <v>7.7782975827609865E-14</v>
      </c>
      <c r="K10" s="5">
        <f>IFERROR(E10*Isospec!C9*Isospec!F9*SSLcm_m,".")</f>
        <v>6.3522219900886704E-17</v>
      </c>
    </row>
    <row r="11" spans="1:11">
      <c r="A11" s="87" t="s">
        <v>21</v>
      </c>
      <c r="B11" s="90" t="s">
        <v>59</v>
      </c>
      <c r="C11" s="2">
        <f>IFERROR((DL)/(Doses!H9*IFAres_adj*Fin*Fi),".")</f>
        <v>4.4103961858893781</v>
      </c>
      <c r="D11" s="3">
        <f>IFERROR((DL)/(Doses!J9*GSFa*Fin*Fi*ETres*(1/24)*EFres*(1/365)),".")</f>
        <v>125.61732132263079</v>
      </c>
      <c r="E11" s="5">
        <f t="shared" si="12"/>
        <v>4.2608004313131813</v>
      </c>
      <c r="F11" s="3">
        <f t="shared" si="9"/>
        <v>0.16318465887790715</v>
      </c>
      <c r="G11" s="3">
        <f t="shared" si="10"/>
        <v>4.6478408889373437</v>
      </c>
      <c r="H11" s="4">
        <f t="shared" si="11"/>
        <v>0.15764961595858787</v>
      </c>
      <c r="I11" s="3">
        <f>IFERROR(C11*Isospec!C10*Isospec!F10*SSLcm_m,".")</f>
        <v>1.0005691961993899E-16</v>
      </c>
      <c r="J11" s="3">
        <f>IFERROR(D11*Isospec!C10*Isospec!F10*SSLcm_m,".")</f>
        <v>2.8498306484717629E-15</v>
      </c>
      <c r="K11" s="5">
        <f>IFERROR(E11*Isospec!C10*Isospec!F10*SSLcm_m,".")</f>
        <v>9.6663099708928826E-17</v>
      </c>
    </row>
    <row r="12" spans="1:11">
      <c r="A12" s="88" t="s">
        <v>17</v>
      </c>
      <c r="B12" s="12" t="s">
        <v>44</v>
      </c>
      <c r="C12" s="2">
        <f>IFERROR((DL)/(Doses!H10*IFAres_adj*Fin*Fi),".")</f>
        <v>1.0462149225714645</v>
      </c>
      <c r="D12" s="3">
        <f>IFERROR((DL)/(Doses!J10*GSFa*Fin*Fi*ETres*(1/24)*EFres*(1/365)),".")</f>
        <v>95014.80368126648</v>
      </c>
      <c r="E12" s="5">
        <f t="shared" ref="E12" si="13">IFERROR(IF(AND(ISNUMBER(C12),ISNUMBER(D12)),(1/((1/C12)+(1/D12))),IF(AND(ISNUMBER(C12),NOT(ISNUMBER(D12))),(1/(1/C12)),IF(AND(NOT(ISNUMBER(C12)),ISNUMBER(D12)),(1/(1/D12)),"."))),".")</f>
        <v>1.0462034027496094</v>
      </c>
      <c r="F12" s="3">
        <f t="shared" ref="F12" si="14">IFERROR(C12/_1_bq,".")</f>
        <v>3.8709952135144228E-2</v>
      </c>
      <c r="G12" s="3">
        <f t="shared" ref="G12" si="15">IFERROR(D12/_1_bq,".")</f>
        <v>3515.5477362068632</v>
      </c>
      <c r="H12" s="4">
        <f t="shared" ref="H12" si="16">IFERROR(E12/_1_bq,".")</f>
        <v>3.8709525901735591E-2</v>
      </c>
      <c r="I12" s="3">
        <f>IFERROR(C12*Isospec!C11*Isospec!F11*SSLcm_m,".")</f>
        <v>1.210690324515468E-11</v>
      </c>
      <c r="J12" s="3">
        <f>IFERROR(D12*Isospec!C11*Isospec!F11*SSLcm_m,".")</f>
        <v>1.0995207678734704E-6</v>
      </c>
      <c r="K12" s="5">
        <f>IFERROR(E12*Isospec!C11*Isospec!F11*SSLcm_m,".")</f>
        <v>1.2106769936629259E-11</v>
      </c>
    </row>
    <row r="13" spans="1:11">
      <c r="A13" s="87" t="s">
        <v>24</v>
      </c>
      <c r="B13" s="12" t="s">
        <v>59</v>
      </c>
      <c r="C13" s="2" t="str">
        <f>IFERROR((DL)/(Doses!H11*IFAres_adj*Fin*Fi),".")</f>
        <v>.</v>
      </c>
      <c r="D13" s="3">
        <f>IFERROR((DL)/(Doses!J11*GSFa*Fin*Fi*ETres*(1/24)*EFres*(1/365)),".")</f>
        <v>7145.1132368312383</v>
      </c>
      <c r="E13" s="5">
        <f t="shared" ref="E13" si="17">IFERROR(IF(AND(ISNUMBER(C13),ISNUMBER(D13)),(1/((1/C13)+(1/D13))),IF(AND(ISNUMBER(C13),NOT(ISNUMBER(D13))),(1/(1/C13)),IF(AND(NOT(ISNUMBER(C13)),ISNUMBER(D13)),(1/(1/D13)),"."))),".")</f>
        <v>7145.1132368312383</v>
      </c>
      <c r="F13" s="3" t="str">
        <f t="shared" ref="F13" si="18">IFERROR(C13/_1_bq,".")</f>
        <v>.</v>
      </c>
      <c r="G13" s="3">
        <f t="shared" ref="G13" si="19">IFERROR(D13/_1_bq,".")</f>
        <v>264.36918976275609</v>
      </c>
      <c r="H13" s="4">
        <f t="shared" ref="H13" si="20">IFERROR(E13/_1_bq,".")</f>
        <v>264.36918976275609</v>
      </c>
      <c r="I13" s="3" t="str">
        <f>IFERROR(C13*Isospec!C12*Isospec!F12*SSLcm_m,".")</f>
        <v>.</v>
      </c>
      <c r="J13" s="3">
        <f>IFERROR(D13*Isospec!C12*Isospec!F12*SSLcm_m,".")</f>
        <v>4.1219255608182572E-14</v>
      </c>
      <c r="K13" s="5">
        <f>IFERROR(E13*Isospec!C12*Isospec!F12*SSLcm_m,".")</f>
        <v>4.1219255608182572E-14</v>
      </c>
    </row>
    <row r="14" spans="1:11">
      <c r="A14" s="87" t="s">
        <v>22</v>
      </c>
      <c r="B14" s="89" t="s">
        <v>59</v>
      </c>
      <c r="C14" s="2" t="str">
        <f>IFERROR((DL)/(Doses!H12*IFAres_adj*Fin*Fi),".")</f>
        <v>.</v>
      </c>
      <c r="D14" s="3">
        <f>IFERROR((DL)/(Doses!J12*GSFa*Fin*Fi*ETres*(1/24)*EFres*(1/365)),".")</f>
        <v>1606.3653859782464</v>
      </c>
      <c r="E14" s="5">
        <f t="shared" ref="E14" si="21">IFERROR(IF(AND(ISNUMBER(C14),ISNUMBER(D14)),(1/((1/C14)+(1/D14))),IF(AND(ISNUMBER(C14),NOT(ISNUMBER(D14))),(1/(1/C14)),IF(AND(NOT(ISNUMBER(C14)),ISNUMBER(D14)),(1/(1/D14)),"."))),".")</f>
        <v>1606.3653859782464</v>
      </c>
      <c r="F14" s="3" t="str">
        <f t="shared" ref="F14" si="22">IFERROR(C14/_1_bq,".")</f>
        <v>.</v>
      </c>
      <c r="G14" s="3">
        <f t="shared" ref="G14" si="23">IFERROR(D14/_1_bq,".")</f>
        <v>59.435519281195177</v>
      </c>
      <c r="H14" s="4">
        <f t="shared" ref="H14" si="24">IFERROR(E14/_1_bq,".")</f>
        <v>59.435519281195177</v>
      </c>
      <c r="I14" s="3" t="str">
        <f>IFERROR(C14*Isospec!C13*Isospec!F13*SSLcm_m,".")</f>
        <v>.</v>
      </c>
      <c r="J14" s="3">
        <f>IFERROR(D14*Isospec!C13*Isospec!F13*SSLcm_m,".")</f>
        <v>1.4367190202155472E-14</v>
      </c>
      <c r="K14" s="5">
        <f>IFERROR(E14*Isospec!C13*Isospec!F13*SSLcm_m,".")</f>
        <v>1.4367190202155472E-14</v>
      </c>
    </row>
    <row r="15" spans="1:11">
      <c r="A15" s="87" t="s">
        <v>28</v>
      </c>
      <c r="B15" s="12" t="s">
        <v>59</v>
      </c>
      <c r="C15" s="2">
        <f>IFERROR((DL)/(Doses!H13*IFAres_adj*Fin*Fi),".")</f>
        <v>3.4624731961293703E-3</v>
      </c>
      <c r="D15" s="3">
        <f>IFERROR((DL)/(Doses!J13*GSFa*Fin*Fi*ETres*(1/24)*EFres*(1/365)),".")</f>
        <v>10385.33900702215</v>
      </c>
      <c r="E15" s="5">
        <f t="shared" ref="E15:E16" si="25">IFERROR(IF(AND(ISNUMBER(C15),ISNUMBER(D15)),(1/((1/C15)+(1/D15))),IF(AND(ISNUMBER(C15),NOT(ISNUMBER(D15))),(1/(1/C15)),IF(AND(NOT(ISNUMBER(C15)),ISNUMBER(D15)),(1/(1/D15)),"."))),".")</f>
        <v>3.4624720417408012E-3</v>
      </c>
      <c r="F15" s="3">
        <f t="shared" ref="F15:F16" si="26">IFERROR(C15/_1_bq,".")</f>
        <v>1.2811150825678684E-4</v>
      </c>
      <c r="G15" s="3">
        <f t="shared" ref="G15:G16" si="27">IFERROR(D15/_1_bq,".")</f>
        <v>384.25754325981995</v>
      </c>
      <c r="H15" s="4">
        <f t="shared" ref="H15:H16" si="28">IFERROR(E15/_1_bq,".")</f>
        <v>1.2811146554440978E-4</v>
      </c>
      <c r="I15" s="3">
        <f>IFERROR(C15*Isospec!C14*Isospec!F14*SSLcm_m,".")</f>
        <v>4.9262628245679094E-9</v>
      </c>
      <c r="J15" s="3">
        <f>IFERROR(D15*Isospec!C14*Isospec!F14*SSLcm_m,".")</f>
        <v>1.4775828309088421E-2</v>
      </c>
      <c r="K15" s="5">
        <f>IFERROR(E15*Isospec!C14*Isospec!F14*SSLcm_m,".")</f>
        <v>4.9262611821518754E-9</v>
      </c>
    </row>
    <row r="16" spans="1:11">
      <c r="A16" s="87" t="s">
        <v>29</v>
      </c>
      <c r="B16" s="12" t="s">
        <v>59</v>
      </c>
      <c r="C16" s="2">
        <f>IFERROR((DL)/(Doses!H14*IFAres_adj*Fin*Fi),".")</f>
        <v>9.5673601471995759</v>
      </c>
      <c r="D16" s="3">
        <f>IFERROR((DL)/(Doses!J14*GSFa*Fin*Fi*ETres*(1/24)*EFres*(1/365)),".")</f>
        <v>963.47265868813906</v>
      </c>
      <c r="E16" s="5">
        <f t="shared" si="25"/>
        <v>9.4732896275761558</v>
      </c>
      <c r="F16" s="3">
        <f t="shared" si="26"/>
        <v>0.35399232544638465</v>
      </c>
      <c r="G16" s="3">
        <f t="shared" si="27"/>
        <v>35.648488371461184</v>
      </c>
      <c r="H16" s="4">
        <f t="shared" si="28"/>
        <v>0.35051171622031813</v>
      </c>
      <c r="I16" s="3">
        <f>IFERROR(C16*Isospec!C15*Isospec!F15*SSLcm_m,".")</f>
        <v>4.6115385728989095E-13</v>
      </c>
      <c r="J16" s="3">
        <f>IFERROR(D16*Isospec!C15*Isospec!F15*SSLcm_m,".")</f>
        <v>4.644009696629157E-11</v>
      </c>
      <c r="K16" s="5">
        <f>IFERROR(E16*Isospec!C15*Isospec!F15*SSLcm_m,".")</f>
        <v>4.5661958845144833E-13</v>
      </c>
    </row>
    <row r="17" spans="1:11">
      <c r="A17" s="87" t="s">
        <v>32</v>
      </c>
      <c r="B17" s="12" t="s">
        <v>59</v>
      </c>
      <c r="C17" s="2">
        <f>IFERROR((DL)/(Doses!H15*IFAres_adj*Fin*Fi),".")</f>
        <v>625.03097809785197</v>
      </c>
      <c r="D17" s="3">
        <f>IFERROR((DL)/(Doses!J15*GSFa*Fin*Fi*ETres*(1/24)*EFres*(1/365)),".")</f>
        <v>89313.915460390504</v>
      </c>
      <c r="E17" s="5">
        <f t="shared" ref="E17:E23" si="29">IFERROR(IF(AND(ISNUMBER(C17),ISNUMBER(D17)),(1/((1/C17)+(1/D17))),IF(AND(ISNUMBER(C17),NOT(ISNUMBER(D17))),(1/(1/C17)),IF(AND(NOT(ISNUMBER(C17)),ISNUMBER(D17)),(1/(1/D17)),"."))),".")</f>
        <v>620.68732344042121</v>
      </c>
      <c r="F17" s="3">
        <f t="shared" ref="F17:F23" si="30">IFERROR(C17/_1_bq,".")</f>
        <v>23.126146189620545</v>
      </c>
      <c r="G17" s="3">
        <f t="shared" ref="G17:G23" si="31">IFERROR(D17/_1_bq,".")</f>
        <v>3304.6148720344522</v>
      </c>
      <c r="H17" s="4">
        <f t="shared" ref="H17:H23" si="32">IFERROR(E17/_1_bq,".")</f>
        <v>22.965430967295607</v>
      </c>
      <c r="I17" s="3">
        <f>IFERROR(C17*Isospec!C16*Isospec!F16*SSLcm_m,".")</f>
        <v>1.3582690886180963E-13</v>
      </c>
      <c r="J17" s="3">
        <f>IFERROR(D17*Isospec!C16*Isospec!F16*SSLcm_m,".")</f>
        <v>1.9409010881746442E-11</v>
      </c>
      <c r="K17" s="5">
        <f>IFERROR(E17*Isospec!C16*Isospec!F16*SSLcm_m,".")</f>
        <v>1.3488297935118359E-13</v>
      </c>
    </row>
    <row r="18" spans="1:11">
      <c r="A18" s="87" t="s">
        <v>33</v>
      </c>
      <c r="B18" s="90" t="s">
        <v>59</v>
      </c>
      <c r="C18" s="2">
        <f>IFERROR((DL)/(Doses!H16*IFAres_adj*Fin*Fi),".")</f>
        <v>7.2350186187777887E-3</v>
      </c>
      <c r="D18" s="3">
        <f>IFERROR((DL)/(Doses!J16*GSFa*Fin*Fi*ETres*(1/24)*EFres*(1/365)),".")</f>
        <v>189626.14747428973</v>
      </c>
      <c r="E18" s="5">
        <f t="shared" si="29"/>
        <v>7.2350183427320382E-3</v>
      </c>
      <c r="F18" s="3">
        <f t="shared" si="30"/>
        <v>2.6769568889477844E-4</v>
      </c>
      <c r="G18" s="3">
        <f t="shared" si="31"/>
        <v>7016.1674565487274</v>
      </c>
      <c r="H18" s="4">
        <f t="shared" si="32"/>
        <v>2.676956786810857E-4</v>
      </c>
      <c r="I18" s="3">
        <f>IFERROR(C18*Isospec!C17*Isospec!F17*SSLcm_m,".")</f>
        <v>9.4443039042077741E-14</v>
      </c>
      <c r="J18" s="3">
        <f>IFERROR(D18*Isospec!C17*Isospec!F17*SSLcm_m,".")</f>
        <v>2.4753038786703886E-6</v>
      </c>
      <c r="K18" s="5">
        <f>IFERROR(E18*Isospec!C17*Isospec!F17*SSLcm_m,".")</f>
        <v>9.4443035438686952E-14</v>
      </c>
    </row>
    <row r="19" spans="1:11">
      <c r="A19" s="87" t="s">
        <v>34</v>
      </c>
      <c r="B19" s="90" t="s">
        <v>59</v>
      </c>
      <c r="C19" s="2">
        <f>IFERROR((DL)/(Doses!H17*IFAres_adj*Fin*Fi),".")</f>
        <v>3.463959236127709</v>
      </c>
      <c r="D19" s="3">
        <f>IFERROR((DL)/(Doses!J17*GSFa*Fin*Fi*ETres*(1/24)*EFres*(1/365)),".")</f>
        <v>804.62986901252691</v>
      </c>
      <c r="E19" s="5">
        <f t="shared" si="29"/>
        <v>3.4491106960571094</v>
      </c>
      <c r="F19" s="3">
        <f t="shared" si="30"/>
        <v>0.12816649173672537</v>
      </c>
      <c r="G19" s="3">
        <f t="shared" si="31"/>
        <v>29.771305153463526</v>
      </c>
      <c r="H19" s="4">
        <f t="shared" si="32"/>
        <v>0.12761709575411317</v>
      </c>
      <c r="I19" s="3">
        <f>IFERROR(C19*Isospec!C18*Isospec!F18*SSLcm_m,".")</f>
        <v>1.05833708582402E-16</v>
      </c>
      <c r="J19" s="3">
        <f>IFERROR(D19*Isospec!C18*Isospec!F18*SSLcm_m,".")</f>
        <v>2.4583708198876879E-14</v>
      </c>
      <c r="K19" s="5">
        <f>IFERROR(E19*Isospec!C18*Isospec!F18*SSLcm_m,".")</f>
        <v>1.0538004387228758E-16</v>
      </c>
    </row>
    <row r="20" spans="1:11">
      <c r="A20" s="87" t="s">
        <v>36</v>
      </c>
      <c r="B20" s="90" t="s">
        <v>59</v>
      </c>
      <c r="C20" s="2">
        <f>IFERROR((DL)/(Doses!H18*IFAres_adj*Fin*Fi),".")</f>
        <v>9.3220432203483042E-3</v>
      </c>
      <c r="D20" s="3">
        <f>IFERROR((DL)/(Doses!J18*GSFa*Fin*Fi*ETres*(1/24)*EFres*(1/365)),".")</f>
        <v>20070542.80008775</v>
      </c>
      <c r="E20" s="5">
        <f t="shared" si="29"/>
        <v>9.3220432160185523E-3</v>
      </c>
      <c r="F20" s="3">
        <f t="shared" si="30"/>
        <v>3.4491559915288762E-4</v>
      </c>
      <c r="G20" s="3">
        <f t="shared" si="31"/>
        <v>742610.08360324753</v>
      </c>
      <c r="H20" s="4">
        <f t="shared" si="32"/>
        <v>3.4491559899268678E-4</v>
      </c>
      <c r="I20" s="3">
        <f>IFERROR(C20*Isospec!C19*Isospec!F19*SSLcm_m,".")</f>
        <v>2.0780516903107848E-15</v>
      </c>
      <c r="J20" s="3">
        <f>IFERROR(D20*Isospec!C19*Isospec!F19*SSLcm_m,".")</f>
        <v>4.4740862496901146E-6</v>
      </c>
      <c r="K20" s="5">
        <f>IFERROR(E20*Isospec!C19*Isospec!F19*SSLcm_m,".")</f>
        <v>2.0780516893456052E-15</v>
      </c>
    </row>
    <row r="21" spans="1:11">
      <c r="A21" s="87" t="s">
        <v>37</v>
      </c>
      <c r="B21" s="12" t="s">
        <v>59</v>
      </c>
      <c r="C21" s="2" t="str">
        <f>IFERROR((DL)/(Doses!H19*IFAres_adj*Fin*Fi),".")</f>
        <v>.</v>
      </c>
      <c r="D21" s="3">
        <f>IFERROR((DL)/(Doses!J19*GSFa*Fin*Fi*ETres*(1/24)*EFres*(1/365)),".")</f>
        <v>5223035.9918357013</v>
      </c>
      <c r="E21" s="5">
        <f t="shared" si="29"/>
        <v>5223035.9918357013</v>
      </c>
      <c r="F21" s="3" t="str">
        <f t="shared" si="30"/>
        <v>.</v>
      </c>
      <c r="G21" s="3">
        <f t="shared" si="31"/>
        <v>193252.33169792115</v>
      </c>
      <c r="H21" s="4">
        <f t="shared" si="32"/>
        <v>193252.33169792115</v>
      </c>
      <c r="I21" s="3" t="str">
        <f>IFERROR(C21*Isospec!C20*Isospec!F20*SSLcm_m,".")</f>
        <v>.</v>
      </c>
      <c r="J21" s="3">
        <f>IFERROR(D21*Isospec!C20*Isospec!F20*SSLcm_m,".")</f>
        <v>4.1486169442000532E-19</v>
      </c>
      <c r="K21" s="5">
        <f>IFERROR(E21*Isospec!C20*Isospec!F20*SSLcm_m,".")</f>
        <v>4.1486169442000532E-19</v>
      </c>
    </row>
    <row r="22" spans="1:11">
      <c r="A22" s="87" t="s">
        <v>38</v>
      </c>
      <c r="B22" s="90" t="s">
        <v>59</v>
      </c>
      <c r="C22" s="2" t="str">
        <f>IFERROR((DL)/(Doses!H20*IFAres_adj*Fin*Fi),".")</f>
        <v>.</v>
      </c>
      <c r="D22" s="3">
        <f>IFERROR((DL)/(Doses!J20*GSFa*Fin*Fi*ETres*(1/24)*EFres*(1/365)),".")</f>
        <v>2350366.1963260653</v>
      </c>
      <c r="E22" s="5">
        <f t="shared" si="29"/>
        <v>2350366.1963260653</v>
      </c>
      <c r="F22" s="3" t="str">
        <f t="shared" si="30"/>
        <v>.</v>
      </c>
      <c r="G22" s="3">
        <f t="shared" si="31"/>
        <v>86963.54926406451</v>
      </c>
      <c r="H22" s="4">
        <f t="shared" si="32"/>
        <v>86963.54926406451</v>
      </c>
      <c r="I22" s="3" t="str">
        <f>IFERROR(C22*Isospec!C21*Isospec!F21*SSLcm_m,".")</f>
        <v>.</v>
      </c>
      <c r="J22" s="3">
        <f>IFERROR(D22*Isospec!C21*Isospec!F21*SSLcm_m,".")</f>
        <v>7.3373340785444404E-18</v>
      </c>
      <c r="K22" s="5">
        <f>IFERROR(E22*Isospec!C21*Isospec!F21*SSLcm_m,".")</f>
        <v>7.3373340785444404E-18</v>
      </c>
    </row>
    <row r="23" spans="1:11">
      <c r="A23" s="87" t="s">
        <v>39</v>
      </c>
      <c r="B23" s="90" t="s">
        <v>59</v>
      </c>
      <c r="C23" s="2">
        <f>IFERROR((DL)/(Doses!H21*IFAres_adj*Fin*Fi),".")</f>
        <v>21.183792703878115</v>
      </c>
      <c r="D23" s="3">
        <f>IFERROR((DL)/(Doses!J21*GSFa*Fin*Fi*ETres*(1/24)*EFres*(1/365)),".")</f>
        <v>3408928071.0072703</v>
      </c>
      <c r="E23" s="5">
        <f t="shared" si="29"/>
        <v>21.183792572237593</v>
      </c>
      <c r="F23" s="3">
        <f t="shared" si="30"/>
        <v>0.78380033004349103</v>
      </c>
      <c r="G23" s="3">
        <f t="shared" si="31"/>
        <v>126130338.62726913</v>
      </c>
      <c r="H23" s="4">
        <f t="shared" si="32"/>
        <v>0.78380032517279175</v>
      </c>
      <c r="I23" s="3">
        <f>IFERROR(C23*Isospec!C22*Isospec!F22*SSLcm_m,".")</f>
        <v>7.6264878055529374E-17</v>
      </c>
      <c r="J23" s="3">
        <f>IFERROR(D23*Isospec!C22*Isospec!F22*SSLcm_m,".")</f>
        <v>1.227265991834624E-8</v>
      </c>
      <c r="K23" s="5">
        <f>IFERROR(E23*Isospec!C22*Isospec!F22*SSLcm_m,".")</f>
        <v>7.6264877581603448E-17</v>
      </c>
    </row>
    <row r="24" spans="1:11">
      <c r="A24" s="87" t="s">
        <v>26</v>
      </c>
      <c r="B24" s="12" t="s">
        <v>59</v>
      </c>
      <c r="C24" s="2">
        <f>IFERROR((DL)/(Doses!H22*IFAres_adj*Fin*Fi),".")</f>
        <v>5.1875341582913277E-3</v>
      </c>
      <c r="D24" s="3">
        <f>IFERROR((DL)/(Doses!J22*GSFa*Fin*Fi*ETres*(1/24)*EFres*(1/365)),".")</f>
        <v>36159.479943477927</v>
      </c>
      <c r="E24" s="5">
        <f t="shared" ref="E24:E25" si="33">IFERROR(IF(AND(ISNUMBER(C24),ISNUMBER(D24)),(1/((1/C24)+(1/D24))),IF(AND(ISNUMBER(C24),NOT(ISNUMBER(D24))),(1/(1/C24)),IF(AND(NOT(ISNUMBER(C24)),ISNUMBER(D24)),(1/(1/D24)),"."))),".")</f>
        <v>5.1875334140741311E-3</v>
      </c>
      <c r="F24" s="3">
        <f t="shared" ref="F24:F25" si="34">IFERROR(C24/_1_bq,".")</f>
        <v>1.9193876385677932E-4</v>
      </c>
      <c r="G24" s="3">
        <f t="shared" ref="G24:G25" si="35">IFERROR(D24/_1_bq,".")</f>
        <v>1337.9007579086847</v>
      </c>
      <c r="H24" s="4">
        <f t="shared" ref="H24:H25" si="36">IFERROR(E24/_1_bq,".")</f>
        <v>1.9193873632074304E-4</v>
      </c>
      <c r="I24" s="3">
        <f>IFERROR(C24*Isospec!C23*Isospec!F23*SSLcm_m,".")</f>
        <v>1.334120086133712E-16</v>
      </c>
      <c r="J24" s="3">
        <f>IFERROR(D24*Isospec!C23*Isospec!F23*SSLcm_m,".")</f>
        <v>9.2994257049157759E-10</v>
      </c>
      <c r="K24" s="5">
        <f>IFERROR(E24*Isospec!C23*Isospec!F23*SSLcm_m,".")</f>
        <v>1.3341198947373604E-16</v>
      </c>
    </row>
    <row r="25" spans="1:11">
      <c r="A25" s="88" t="s">
        <v>27</v>
      </c>
      <c r="B25" s="90" t="s">
        <v>44</v>
      </c>
      <c r="C25" s="2">
        <f>IFERROR((DL)/(Doses!H23*IFAres_adj*Fin*Fi),".")</f>
        <v>4.2356468224495217E-3</v>
      </c>
      <c r="D25" s="3">
        <f>IFERROR((DL)/(Doses!J23*GSFa*Fin*Fi*ETres*(1/24)*EFres*(1/365)),".")</f>
        <v>28718.300791122347</v>
      </c>
      <c r="E25" s="5">
        <f t="shared" si="33"/>
        <v>4.2356461977363299E-3</v>
      </c>
      <c r="F25" s="3">
        <f t="shared" si="34"/>
        <v>1.5671893243063246E-4</v>
      </c>
      <c r="G25" s="3">
        <f t="shared" si="35"/>
        <v>1062.5771292715278</v>
      </c>
      <c r="H25" s="4">
        <f t="shared" si="36"/>
        <v>1.5671890931624437E-4</v>
      </c>
      <c r="I25" s="3">
        <f>IFERROR(C25*Isospec!C24*Isospec!F24*SSLcm_m,".")</f>
        <v>4.2885076947936923E-12</v>
      </c>
      <c r="J25" s="3">
        <f>IFERROR(D25*Isospec!C24*Isospec!F24*SSLcm_m,".")</f>
        <v>2.9076705184995553E-5</v>
      </c>
      <c r="K25" s="5">
        <f>IFERROR(E25*Isospec!C24*Isospec!F24*SSLcm_m,".")</f>
        <v>4.2885070622840802E-12</v>
      </c>
    </row>
    <row r="26" spans="1:11">
      <c r="A26" s="87" t="s">
        <v>30</v>
      </c>
      <c r="B26" s="90" t="s">
        <v>59</v>
      </c>
      <c r="C26" s="2" t="str">
        <f>IFERROR((DL)/(Doses!H24*IFAres_adj*Fin*Fi),".")</f>
        <v>.</v>
      </c>
      <c r="D26" s="3">
        <f>IFERROR((DL)/(Doses!J24*GSFa*Fin*Fi*ETres*(1/24)*EFres*(1/365)),".")</f>
        <v>262687.9866482073</v>
      </c>
      <c r="E26" s="5">
        <f t="shared" ref="E26:E27" si="37">IFERROR(IF(AND(ISNUMBER(C26),ISNUMBER(D26)),(1/((1/C26)+(1/D26))),IF(AND(ISNUMBER(C26),NOT(ISNUMBER(D26))),(1/(1/C26)),IF(AND(NOT(ISNUMBER(C26)),ISNUMBER(D26)),(1/(1/D26)),"."))),".")</f>
        <v>262687.9866482073</v>
      </c>
      <c r="F26" s="3" t="str">
        <f t="shared" ref="F26:F27" si="38">IFERROR(C26/_1_bq,".")</f>
        <v>.</v>
      </c>
      <c r="G26" s="3">
        <f t="shared" ref="G26:G27" si="39">IFERROR(D26/_1_bq,".")</f>
        <v>9719.4555059836803</v>
      </c>
      <c r="H26" s="4">
        <f t="shared" ref="H26:H27" si="40">IFERROR(E26/_1_bq,".")</f>
        <v>9719.4555059836803</v>
      </c>
      <c r="I26" s="3" t="str">
        <f>IFERROR(C26*Isospec!C25*Isospec!F25*SSLcm_m,".")</f>
        <v>.</v>
      </c>
      <c r="J26" s="3">
        <f>IFERROR(D26*Isospec!C25*Isospec!F25*SSLcm_m,".")</f>
        <v>1.7795745011264904E-16</v>
      </c>
      <c r="K26" s="5">
        <f>IFERROR(E26*Isospec!C25*Isospec!F25*SSLcm_m,".")</f>
        <v>1.7795745011264904E-16</v>
      </c>
    </row>
    <row r="27" spans="1:11">
      <c r="A27" s="88" t="s">
        <v>31</v>
      </c>
      <c r="B27" s="90" t="s">
        <v>44</v>
      </c>
      <c r="C27" s="2">
        <f>IFERROR((DL)/(Doses!H25*IFAres_adj*Fin*Fi),".")</f>
        <v>24.644351206649045</v>
      </c>
      <c r="D27" s="3">
        <f>IFERROR((DL)/(Doses!J25*GSFa*Fin*Fi*ETres*(1/24)*EFres*(1/365)),".")</f>
        <v>516265.40728549421</v>
      </c>
      <c r="E27" s="5">
        <f t="shared" si="37"/>
        <v>24.643174844554771</v>
      </c>
      <c r="F27" s="3">
        <f t="shared" si="38"/>
        <v>0.91184099464601553</v>
      </c>
      <c r="G27" s="3">
        <f t="shared" si="39"/>
        <v>19101.820069563306</v>
      </c>
      <c r="H27" s="4">
        <f t="shared" si="40"/>
        <v>0.91179746924852745</v>
      </c>
      <c r="I27" s="3">
        <f>IFERROR(C27*Isospec!C26*Isospec!F26*SSLcm_m,".")</f>
        <v>1.6047102444626153E-13</v>
      </c>
      <c r="J27" s="3">
        <f>IFERROR(D27*Isospec!C26*Isospec!F26*SSLcm_m,".")</f>
        <v>3.3616481967242032E-9</v>
      </c>
      <c r="K27" s="5">
        <f>IFERROR(E27*Isospec!C26*Isospec!F26*SSLcm_m,".")</f>
        <v>1.6046336459639147E-13</v>
      </c>
    </row>
    <row r="28" spans="1:11">
      <c r="A28" s="87" t="s">
        <v>35</v>
      </c>
      <c r="B28" s="12" t="s">
        <v>59</v>
      </c>
      <c r="C28" s="2">
        <f>IFERROR((DL)/(Doses!H26*IFAres_adj*Fin*Fi),".")</f>
        <v>5.7784320889046447E-4</v>
      </c>
      <c r="D28" s="3">
        <f>IFERROR((DL)/(Doses!J26*GSFa*Fin*Fi*ETres*(1/24)*EFres*(1/365)),".")</f>
        <v>2690.1781765177852</v>
      </c>
      <c r="E28" s="5">
        <f t="shared" ref="E28:E31" si="41">IFERROR(IF(AND(ISNUMBER(C28),ISNUMBER(D28)),(1/((1/C28)+(1/D28))),IF(AND(ISNUMBER(C28),NOT(ISNUMBER(D28))),(1/(1/C28)),IF(AND(NOT(ISNUMBER(C28)),ISNUMBER(D28)),(1/(1/D28)),"."))),".")</f>
        <v>5.7784308477128708E-4</v>
      </c>
      <c r="F28" s="3">
        <f t="shared" ref="F28" si="42">IFERROR(C28/_1_bq,".")</f>
        <v>2.1380198728947207E-5</v>
      </c>
      <c r="G28" s="3">
        <f t="shared" ref="G28" si="43">IFERROR(D28/_1_bq,".")</f>
        <v>99.536592531158149</v>
      </c>
      <c r="H28" s="4">
        <f t="shared" ref="H28" si="44">IFERROR(E28/_1_bq,".")</f>
        <v>2.1380194136537645E-5</v>
      </c>
      <c r="I28" s="3">
        <f>IFERROR(C28*Isospec!C27*Isospec!F27*SSLcm_m,".")</f>
        <v>2.7195659010677532E-12</v>
      </c>
      <c r="J28" s="3">
        <f>IFERROR(D28*Isospec!C27*Isospec!F27*SSLcm_m,".")</f>
        <v>1.2661076091388715E-5</v>
      </c>
      <c r="K28" s="5">
        <f>IFERROR(E28*Isospec!C27*Isospec!F27*SSLcm_m,".")</f>
        <v>2.7195653169122638E-12</v>
      </c>
    </row>
    <row r="29" spans="1:11">
      <c r="A29" s="87" t="s">
        <v>40</v>
      </c>
      <c r="B29" s="90" t="s">
        <v>59</v>
      </c>
      <c r="C29" s="2" t="str">
        <f>IFERROR((DL)/(Doses!H27*IFAres_adj*Fin*Fi),".")</f>
        <v>.</v>
      </c>
      <c r="D29" s="3">
        <f>IFERROR((DL)/(Doses!J27*GSFa*Fin*Fi*ETres*(1/24)*EFres*(1/365)),".")</f>
        <v>22497.207924531613</v>
      </c>
      <c r="E29" s="5">
        <f t="shared" si="41"/>
        <v>22497.207924531613</v>
      </c>
      <c r="F29" s="3" t="str">
        <f t="shared" ref="F29:F32" si="45">IFERROR(C29/_1_bq,".")</f>
        <v>.</v>
      </c>
      <c r="G29" s="3">
        <f t="shared" ref="G29:G32" si="46">IFERROR(D29/_1_bq,".")</f>
        <v>832.39669320767052</v>
      </c>
      <c r="H29" s="4">
        <f t="shared" ref="H29:H32" si="47">IFERROR(E29/_1_bq,".")</f>
        <v>832.39669320767052</v>
      </c>
      <c r="I29" s="3" t="str">
        <f>IFERROR(C29*Isospec!C28*Isospec!F28*SSLcm_m,".")</f>
        <v>.</v>
      </c>
      <c r="J29" s="3">
        <f>IFERROR(D29*Isospec!C28*Isospec!F28*SSLcm_m,".")</f>
        <v>1.0369261040649442E-13</v>
      </c>
      <c r="K29" s="5">
        <f>IFERROR(E29*Isospec!C28*Isospec!F28*SSLcm_m,".")</f>
        <v>1.0369261040649442E-13</v>
      </c>
    </row>
    <row r="30" spans="1:11">
      <c r="A30" s="87" t="s">
        <v>41</v>
      </c>
      <c r="B30" s="12" t="s">
        <v>59</v>
      </c>
      <c r="C30" s="2" t="str">
        <f>IFERROR((DL)/(Doses!H28*IFAres_adj*Fin*Fi),".")</f>
        <v>.</v>
      </c>
      <c r="D30" s="3">
        <f>IFERROR((DL)/(Doses!J28*GSFa*Fin*Fi*ETres*(1/24)*EFres*(1/365)),".")</f>
        <v>87.5626622160691</v>
      </c>
      <c r="E30" s="5">
        <f t="shared" si="41"/>
        <v>87.5626622160691</v>
      </c>
      <c r="F30" s="3" t="str">
        <f t="shared" si="45"/>
        <v>.</v>
      </c>
      <c r="G30" s="3">
        <f t="shared" si="46"/>
        <v>3.2398185019945598</v>
      </c>
      <c r="H30" s="4">
        <f t="shared" si="47"/>
        <v>3.2398185019945598</v>
      </c>
      <c r="I30" s="3" t="str">
        <f>IFERROR(C30*Isospec!C29*Isospec!F29*SSLcm_m,".")</f>
        <v>.</v>
      </c>
      <c r="J30" s="3">
        <f>IFERROR(D30*Isospec!C29*Isospec!F29*SSLcm_m,".")</f>
        <v>2.1067969694868849E-16</v>
      </c>
      <c r="K30" s="5">
        <f>IFERROR(E30*Isospec!C29*Isospec!F29*SSLcm_m,".")</f>
        <v>2.1067969694868849E-16</v>
      </c>
    </row>
    <row r="31" spans="1:11">
      <c r="A31" s="87" t="s">
        <v>42</v>
      </c>
      <c r="B31" s="90" t="s">
        <v>59</v>
      </c>
      <c r="C31" s="2" t="str">
        <f>IFERROR((DL)/(Doses!H29*IFAres_adj*Fin*Fi),".")</f>
        <v>.</v>
      </c>
      <c r="D31" s="3">
        <f>IFERROR((DL)/(Doses!J29*GSFa*Fin*Fi*ETres*(1/24)*EFres*(1/365)),".")</f>
        <v>67.662057166962484</v>
      </c>
      <c r="E31" s="5">
        <f t="shared" si="41"/>
        <v>67.662057166962484</v>
      </c>
      <c r="F31" s="3" t="str">
        <f t="shared" si="45"/>
        <v>.</v>
      </c>
      <c r="G31" s="3">
        <f t="shared" si="46"/>
        <v>2.5034961151776143</v>
      </c>
      <c r="H31" s="4">
        <f t="shared" si="47"/>
        <v>2.5034961151776143</v>
      </c>
      <c r="I31" s="3" t="str">
        <f>IFERROR(C31*Isospec!C30*Isospec!F30*SSLcm_m,".")</f>
        <v>.</v>
      </c>
      <c r="J31" s="3">
        <f>IFERROR(D31*Isospec!C30*Isospec!F30*SSLcm_m,".")</f>
        <v>9.8403494098982752E-17</v>
      </c>
      <c r="K31" s="5">
        <f>IFERROR(E31*Isospec!C30*Isospec!F30*SSLcm_m,".")</f>
        <v>9.8403494098982752E-17</v>
      </c>
    </row>
    <row r="32" spans="1:11">
      <c r="A32" s="87" t="s">
        <v>25</v>
      </c>
      <c r="B32" s="12" t="s">
        <v>59</v>
      </c>
      <c r="C32" s="2">
        <f>IFERROR((DL)/(Doses!H30*IFAres_adj*Fin*Fi),".")</f>
        <v>4.2356468224495217E-3</v>
      </c>
      <c r="D32" s="3">
        <f>IFERROR((DL)/(Doses!J30*GSFa*Fin*Fi*ETres*(1/24)*EFres*(1/365)),".")</f>
        <v>842584.10811689147</v>
      </c>
      <c r="E32" s="5">
        <f t="shared" ref="E32" si="48">IFERROR(IF(AND(ISNUMBER(C32),ISNUMBER(D32)),(1/((1/C32)+(1/D32))),IF(AND(ISNUMBER(C32),NOT(ISNUMBER(D32))),(1/(1/C32)),IF(AND(NOT(ISNUMBER(C32)),ISNUMBER(D32)),(1/(1/D32)),"."))),".")</f>
        <v>4.2356468011570435E-3</v>
      </c>
      <c r="F32" s="3">
        <f t="shared" si="45"/>
        <v>1.5671893243063246E-4</v>
      </c>
      <c r="G32" s="3">
        <f t="shared" si="46"/>
        <v>31175.612000325014</v>
      </c>
      <c r="H32" s="4">
        <f t="shared" si="47"/>
        <v>1.5671893164281078E-4</v>
      </c>
      <c r="I32" s="3">
        <f>IFERROR(C32*Isospec!C31*Isospec!F31*SSLcm_m,".")</f>
        <v>4.3992308912499799E-10</v>
      </c>
      <c r="J32" s="3">
        <f>IFERROR(D32*Isospec!C31*Isospec!F31*SSLcm_m,".")</f>
        <v>8.7512538043965235E-2</v>
      </c>
      <c r="K32" s="5">
        <f>IFERROR(E32*Isospec!C31*Isospec!F31*SSLcm_m,".")</f>
        <v>4.3992308691351692E-10</v>
      </c>
    </row>
    <row r="33" spans="1:11">
      <c r="A33" s="30" t="s">
        <v>14</v>
      </c>
      <c r="B33" s="30" t="s">
        <v>59</v>
      </c>
      <c r="C33" s="76">
        <f>IFERROR(1/SUM(1/C34,1/C35,1/C36,1/C37,1/C38,1/C39,1/C40,1/C43,1/C46),0)</f>
        <v>2.0374135663030264E-4</v>
      </c>
      <c r="D33" s="77">
        <f>IFERROR(1/SUM(1/D34,1/D35,1/D36,1/D37,1/D38,1/D39,1/D40,1/D41,1/D42,1/D43,1/D44,1/D45,1/D46),0)</f>
        <v>366.36055031098158</v>
      </c>
      <c r="E33" s="78">
        <f>IFERROR(1/SUM(1/E34,1/E35,1/E36,1/E37,1/E38,1/E39,1/E40,1/E41,1/E42,1/E43,1/E44,1/E45,1/E46),0)</f>
        <v>2.0374124332520662E-4</v>
      </c>
      <c r="F33" s="76">
        <f>IFERROR(1/SUM(1/F34,1/F35,1/F36,1/F37,1/F38,1/F39,1/F40,1/F43,1/F46),0)</f>
        <v>7.5384301953212034E-6</v>
      </c>
      <c r="G33" s="77">
        <f>IFERROR(1/SUM(1/G34,1/G35,1/G36,1/G37,1/G38,1/G39,1/G40,1/G41,1/G42,1/G43,1/G44,1/G45,1/G46),0)</f>
        <v>13.555340361506333</v>
      </c>
      <c r="H33" s="78">
        <f>IFERROR(1/SUM(1/H34,1/H35,1/H36,1/H37,1/H38,1/H39,1/H40,1/H41,1/H42,1/H43,1/H44,1/H45,1/H46),0)</f>
        <v>7.5384260030326541E-6</v>
      </c>
      <c r="I33" s="20">
        <f>IFERROR(C33*Isospec!$C$4*Isospec!$F$4*SSLcm_m,".")</f>
        <v>5.9420873273674214E-14</v>
      </c>
      <c r="J33" s="19">
        <f>IFERROR(D33*Isospec!$C$4*Isospec!$F$4*SSLcm_m,".")</f>
        <v>1.0684852693900533E-7</v>
      </c>
      <c r="K33" s="21">
        <f>IFERROR(E33*Isospec!$C$4*Isospec!$F$4*SSLcm_m,".")</f>
        <v>5.9420840228406119E-14</v>
      </c>
    </row>
    <row r="34" spans="1:11">
      <c r="A34" s="31" t="s">
        <v>175</v>
      </c>
      <c r="B34" s="32">
        <v>1</v>
      </c>
      <c r="C34" s="70">
        <f>IFERROR(VLOOKUP("Am-241",$A$4:$L$32,3)/$B34,0)</f>
        <v>4.4472132794322187E-4</v>
      </c>
      <c r="D34" s="71">
        <f>IFERROR(VLOOKUP("Am-241",$A$4:$L$32,4)/$B34,0)</f>
        <v>13290.761229224776</v>
      </c>
      <c r="E34" s="72">
        <f>IFERROR(IF(AND(C34&lt;&gt;0,D34&lt;&gt;0),(1/((1/C34)+(1/D34))),IF(AND(C34&lt;&gt;0,D34=0),(1/(1/C34)),IF(AND(C34=0,D34&lt;&gt;0),(1/(1/D34)),0))),0)</f>
        <v>4.447213130624299E-4</v>
      </c>
      <c r="F34" s="70">
        <f>IFERROR(VLOOKUP("Am-241",$A$4:$L$32,6)/$B34,0)</f>
        <v>1.6454689133899226E-5</v>
      </c>
      <c r="G34" s="71">
        <f>IFERROR(VLOOKUP("Am-241",$A$4:$L$32,7)/$B34,0)</f>
        <v>491.75816548131718</v>
      </c>
      <c r="H34" s="72">
        <f>IFERROR(IF(AND(F34&lt;&gt;0,G34&lt;&gt;0),(1/((1/F34)+(1/G34))),IF(AND(F34&lt;&gt;0,G34=0),(1/(1/F34)),IF(AND(F34=0,G34&lt;&gt;0),(1/(1/G34)),0))),0)</f>
        <v>1.6454688583309924E-5</v>
      </c>
      <c r="I34" s="70">
        <f>IFERROR(VLOOKUP("Am-241",$A$4:$K$32,9)/$B34,0)</f>
        <v>1.297023348959284E-13</v>
      </c>
      <c r="J34" s="71">
        <f>IFERROR(VLOOKUP("Am-241",$A$4:$L$32,10)/$B34,0)</f>
        <v>3.8762313738072364E-6</v>
      </c>
      <c r="K34" s="72">
        <f>IFERROR(VLOOKUP("Am-241",$A$4:$L$32,11)/$B34,0)</f>
        <v>1.2970233055596687E-13</v>
      </c>
    </row>
    <row r="35" spans="1:11">
      <c r="A35" s="31" t="s">
        <v>176</v>
      </c>
      <c r="B35" s="32">
        <v>1</v>
      </c>
      <c r="C35" s="70">
        <f>IFERROR(VLOOKUP("Np-237",$A$4:$L$32,3)/$B35,0)</f>
        <v>3.4624731961293703E-3</v>
      </c>
      <c r="D35" s="71">
        <f>IFERROR(VLOOKUP("Np-237",$A$4:$L$32,4)/$B35,0)</f>
        <v>10385.33900702215</v>
      </c>
      <c r="E35" s="72">
        <f t="shared" ref="E35:E46" si="49">IFERROR(IF(AND(C35&lt;&gt;0,D35&lt;&gt;0),(1/((1/C35)+(1/D35))),IF(AND(C35&lt;&gt;0,D35=0),(1/(1/C35)),IF(AND(C35=0,D35&lt;&gt;0),(1/(1/D35)),0))),0)</f>
        <v>3.4624720417408012E-3</v>
      </c>
      <c r="F35" s="70">
        <f>IFERROR(VLOOKUP("Np-237",$A$4:$L$32,6)/$B35,0)</f>
        <v>1.2811150825678684E-4</v>
      </c>
      <c r="G35" s="71">
        <f>IFERROR(VLOOKUP("Np-237",$A$4:$L$32,7)/$B35,0)</f>
        <v>384.25754325981995</v>
      </c>
      <c r="H35" s="72">
        <f t="shared" ref="H35" si="50">IFERROR(IF(AND(F35&lt;&gt;0,G35&lt;&gt;0),(1/((1/F35)+(1/G35))),IF(AND(F35&lt;&gt;0,G35=0),(1/(1/F35)),IF(AND(F35=0,G35&lt;&gt;0),(1/(1/G35)),0))),0)</f>
        <v>1.2811146554440978E-4</v>
      </c>
      <c r="I35" s="70">
        <f>IFERROR(VLOOKUP("Np-237",$A$4:$L$32,9)/$B35,0)</f>
        <v>4.9262628245679094E-9</v>
      </c>
      <c r="J35" s="71">
        <f>IFERROR(VLOOKUP("Np-237",$A$4:$L$32,10)/$B35,0)</f>
        <v>1.4775828309088421E-2</v>
      </c>
      <c r="K35" s="72">
        <f>IFERROR(VLOOKUP("Np-237",$A$4:$L$32,11)/$B35,0)</f>
        <v>4.9262611821518754E-9</v>
      </c>
    </row>
    <row r="36" spans="1:11">
      <c r="A36" s="31" t="s">
        <v>177</v>
      </c>
      <c r="B36" s="32">
        <v>1</v>
      </c>
      <c r="C36" s="70">
        <f>IFERROR(VLOOKUP("Pa-233",$A$4:$L$32,3)/$B36,0)</f>
        <v>9.5673601471995759</v>
      </c>
      <c r="D36" s="71">
        <f>IFERROR(VLOOKUP("Pa-233",$A$4:$L$32,4)/$B36,0)</f>
        <v>963.47265868813906</v>
      </c>
      <c r="E36" s="72">
        <f>IFERROR(IF(AND(C36&lt;&gt;0,D36&lt;&gt;0),(1/((1/C36)+(1/D36))),IF(AND(C36&lt;&gt;0,D36=0),(1/(1/C36)),IF(AND(C36=0,D36&lt;&gt;0),(1/(1/D36)),0))),0)</f>
        <v>9.4732896275761558</v>
      </c>
      <c r="F36" s="70">
        <f>IFERROR(VLOOKUP("Pa-233",$A$4:$L$32,6)/$B36,0)</f>
        <v>0.35399232544638465</v>
      </c>
      <c r="G36" s="71">
        <f>IFERROR(VLOOKUP("Pa-233",$A$4:$L$32,7)/$B36,0)</f>
        <v>35.648488371461184</v>
      </c>
      <c r="H36" s="72">
        <f>IFERROR(IF(AND(F36&lt;&gt;0,G36&lt;&gt;0),(1/((1/F36)+(1/G36))),IF(AND(F36&lt;&gt;0,G36=0),(1/(1/F36)),IF(AND(F36=0,G36&lt;&gt;0),(1/(1/G36)),0))),0)</f>
        <v>0.35051171622031807</v>
      </c>
      <c r="I36" s="70">
        <f>IFERROR(VLOOKUP("Pa-233",$A$4:$L$32,9)/$B36,0)</f>
        <v>4.6115385728989095E-13</v>
      </c>
      <c r="J36" s="71">
        <f>IFERROR(VLOOKUP("Pa-233",$A$4:$L$32,10)/$B36,0)</f>
        <v>4.644009696629157E-11</v>
      </c>
      <c r="K36" s="72">
        <f>IFERROR(VLOOKUP("Pa-233",$A$4:$L$32,11)/$B36,0)</f>
        <v>4.5661958845144833E-13</v>
      </c>
    </row>
    <row r="37" spans="1:11">
      <c r="A37" s="31" t="s">
        <v>178</v>
      </c>
      <c r="B37" s="32">
        <v>1</v>
      </c>
      <c r="C37" s="70">
        <f>IFERROR(VLOOKUP("U-233",$A$4:$L$32,3)/$B37,0)</f>
        <v>4.2356468224495217E-3</v>
      </c>
      <c r="D37" s="71">
        <f>IFERROR(VLOOKUP("U-233",$A$4:$L$32,4)/$B37,0)</f>
        <v>842584.10811689147</v>
      </c>
      <c r="E37" s="72">
        <f t="shared" si="49"/>
        <v>4.2356468011570435E-3</v>
      </c>
      <c r="F37" s="70">
        <f>IFERROR(VLOOKUP("U-233",$A$4:$L$32,6)/$B37,0)</f>
        <v>1.5671893243063246E-4</v>
      </c>
      <c r="G37" s="71">
        <f>IFERROR(VLOOKUP("U-233",$A$4:$L$32,7)/$B37,0)</f>
        <v>31175.612000325014</v>
      </c>
      <c r="H37" s="72">
        <f t="shared" ref="H37:H46" si="51">IFERROR(IF(AND(F37&lt;&gt;0,G37&lt;&gt;0),(1/((1/F37)+(1/G37))),IF(AND(F37&lt;&gt;0,G37=0),(1/(1/F37)),IF(AND(F37=0,G37&lt;&gt;0),(1/(1/G37)),0))),0)</f>
        <v>1.5671893164281075E-4</v>
      </c>
      <c r="I37" s="70">
        <f>IFERROR(VLOOKUP("U-233",$A$4:$L$32,9)/$B37,0)</f>
        <v>4.3992308912499799E-10</v>
      </c>
      <c r="J37" s="71">
        <f>IFERROR(VLOOKUP("U-233",$A$4:$L$32,10)/$B37,0)</f>
        <v>8.7512538043965235E-2</v>
      </c>
      <c r="K37" s="72">
        <f>IFERROR(VLOOKUP("U-233",$A$4:$L$32,11)/$B37,0)</f>
        <v>4.3992308691351692E-10</v>
      </c>
    </row>
    <row r="38" spans="1:11">
      <c r="A38" s="31" t="s">
        <v>179</v>
      </c>
      <c r="B38" s="32">
        <v>1</v>
      </c>
      <c r="C38" s="70">
        <f>IFERROR(VLOOKUP("Th-229",$A$4:$L$32,3)/$B38,0)</f>
        <v>5.7784320889046447E-4</v>
      </c>
      <c r="D38" s="71">
        <f>IFERROR(VLOOKUP("Th-229",$A$4:$L$32,4)/$B38,0)</f>
        <v>2690.1781765177852</v>
      </c>
      <c r="E38" s="72">
        <f t="shared" si="49"/>
        <v>5.7784308477128708E-4</v>
      </c>
      <c r="F38" s="70">
        <f>IFERROR(VLOOKUP("Th-229",$A$4:$L$32,6)/$B38,0)</f>
        <v>2.1380198728947207E-5</v>
      </c>
      <c r="G38" s="71">
        <f>IFERROR(VLOOKUP("Th-229",$A$4:$L$32,7)/$B38,0)</f>
        <v>99.536592531158149</v>
      </c>
      <c r="H38" s="72">
        <f t="shared" si="51"/>
        <v>2.1380194136537645E-5</v>
      </c>
      <c r="I38" s="70">
        <f>IFERROR(VLOOKUP("Th-229",$A$4:$L$32,9)/$B38,0)</f>
        <v>2.7195659010677532E-12</v>
      </c>
      <c r="J38" s="71">
        <f>IFERROR(VLOOKUP("Th-229",$A$4:$L$32,10)/$B38,0)</f>
        <v>1.2661076091388715E-5</v>
      </c>
      <c r="K38" s="72">
        <f>IFERROR(VLOOKUP("Th-229",$A$4:$L$32,11)/$B38,0)</f>
        <v>2.7195653169122638E-12</v>
      </c>
    </row>
    <row r="39" spans="1:11">
      <c r="A39" s="31" t="s">
        <v>180</v>
      </c>
      <c r="B39" s="32">
        <v>1</v>
      </c>
      <c r="C39" s="70">
        <f>IFERROR(VLOOKUP("Ra-225",$A$4:$L$32,3)/$B39,0)</f>
        <v>5.1875341582913277E-3</v>
      </c>
      <c r="D39" s="71">
        <f>IFERROR(VLOOKUP("Ra-225",$A$4:$L$32,4)/$B39,0)</f>
        <v>36159.479943477927</v>
      </c>
      <c r="E39" s="72">
        <f t="shared" si="49"/>
        <v>5.1875334140741311E-3</v>
      </c>
      <c r="F39" s="70">
        <f>IFERROR(VLOOKUP("Ra-225",$A$4:$L$32,6)/$B39,0)</f>
        <v>1.9193876385677932E-4</v>
      </c>
      <c r="G39" s="71">
        <f>IFERROR(VLOOKUP("Ra-225",$A$4:$L$32,7)/$B39,0)</f>
        <v>1337.9007579086847</v>
      </c>
      <c r="H39" s="72">
        <f t="shared" si="51"/>
        <v>1.9193873632074304E-4</v>
      </c>
      <c r="I39" s="70">
        <f>IFERROR(VLOOKUP("Ra-225",$A$4:$L$32,9)/$B39,0)</f>
        <v>1.334120086133712E-16</v>
      </c>
      <c r="J39" s="71">
        <f>IFERROR(VLOOKUP("Ra-225",$A$4:$L$32,10)/$B39,0)</f>
        <v>9.2994257049157759E-10</v>
      </c>
      <c r="K39" s="72">
        <f>IFERROR(VLOOKUP("Ra-225",$A$4:$L$32,11)/$B39,0)</f>
        <v>1.3341198947373604E-16</v>
      </c>
    </row>
    <row r="40" spans="1:11">
      <c r="A40" s="31" t="s">
        <v>181</v>
      </c>
      <c r="B40" s="32">
        <v>1</v>
      </c>
      <c r="C40" s="70">
        <f>IFERROR(VLOOKUP("Ac-225",$A$4:$L$32,3)/$B40,0)</f>
        <v>4.7524141907658024E-3</v>
      </c>
      <c r="D40" s="71">
        <f>IFERROR(VLOOKUP("Ac-225",$A$4:$L$32,4)/$B40,0)</f>
        <v>15779.84372091705</v>
      </c>
      <c r="E40" s="72">
        <f t="shared" si="49"/>
        <v>4.7524127594820555E-3</v>
      </c>
      <c r="F40" s="70">
        <f>IFERROR(VLOOKUP("Ac-225",$A$4:$L$32,6)/$B40,0)</f>
        <v>1.7583932505833486E-4</v>
      </c>
      <c r="G40" s="71">
        <f>IFERROR(VLOOKUP("Ac-225",$A$4:$L$32,7)/$B40,0)</f>
        <v>583.85421767393143</v>
      </c>
      <c r="H40" s="72">
        <f t="shared" si="51"/>
        <v>1.7583927210083623E-4</v>
      </c>
      <c r="I40" s="70">
        <f>IFERROR(VLOOKUP("Ac-225",$A$4:$L$32,9)/$B40,0)</f>
        <v>8.2027970963904081E-17</v>
      </c>
      <c r="J40" s="71">
        <f>IFERROR(VLOOKUP("Ac-225",$A$4:$L$32,10)/$B40,0)</f>
        <v>2.723644258678873E-10</v>
      </c>
      <c r="K40" s="72">
        <f>IFERROR(VLOOKUP("Ac-225",$A$4:$L$32,11)/$B40,0)</f>
        <v>8.2027946259554485E-17</v>
      </c>
    </row>
    <row r="41" spans="1:11">
      <c r="A41" s="31" t="s">
        <v>182</v>
      </c>
      <c r="B41" s="32">
        <v>1</v>
      </c>
      <c r="C41" s="70">
        <f>IFERROR(VLOOKUP("Fr-221",$A$4:$L$32,3)/$B41,0)</f>
        <v>0</v>
      </c>
      <c r="D41" s="71">
        <f>IFERROR(VLOOKUP("Fr-221",$A$4:$L$32,4)/$B41,0)</f>
        <v>7145.1132368312383</v>
      </c>
      <c r="E41" s="72">
        <f t="shared" si="49"/>
        <v>7145.1132368312383</v>
      </c>
      <c r="F41" s="70">
        <f>IFERROR(VLOOKUP("Fr-221",$A$4:$L$32,6)/$B41,0)</f>
        <v>0</v>
      </c>
      <c r="G41" s="71">
        <f>IFERROR(VLOOKUP("Fr-221",$A$4:$L$32,7)/$B41,0)</f>
        <v>264.36918976275609</v>
      </c>
      <c r="H41" s="72">
        <f t="shared" si="51"/>
        <v>264.36918976275609</v>
      </c>
      <c r="I41" s="70">
        <f>IFERROR(VLOOKUP("Fr-221",$A$4:$L$32,9)/$B41,0)</f>
        <v>0</v>
      </c>
      <c r="J41" s="71">
        <f>IFERROR(VLOOKUP("Fr-221",$A$4:$L$32,10)/$B41,0)</f>
        <v>4.1219255608182572E-14</v>
      </c>
      <c r="K41" s="72">
        <f>IFERROR(VLOOKUP("Fr-221",$A$4:$L$32,11)/$B41,0)</f>
        <v>4.1219255608182572E-14</v>
      </c>
    </row>
    <row r="42" spans="1:11">
      <c r="A42" s="31" t="s">
        <v>183</v>
      </c>
      <c r="B42" s="32">
        <v>1</v>
      </c>
      <c r="C42" s="70">
        <f>IFERROR(VLOOKUP("At-217",$A$4:$L$32,3)/$B42,0)</f>
        <v>0</v>
      </c>
      <c r="D42" s="71">
        <f>IFERROR(VLOOKUP("At-217",$A$4:$L$32,4)/$B42,0)</f>
        <v>842584.10811689147</v>
      </c>
      <c r="E42" s="72">
        <f t="shared" si="49"/>
        <v>842584.10811689147</v>
      </c>
      <c r="F42" s="70">
        <f>IFERROR(VLOOKUP("At-217",$A$4:$L$32,6)/$B42,0)</f>
        <v>0</v>
      </c>
      <c r="G42" s="71">
        <f>IFERROR(VLOOKUP("At-217",$A$4:$L$32,7)/$B42,0)</f>
        <v>31175.612000325014</v>
      </c>
      <c r="H42" s="72">
        <f t="shared" si="51"/>
        <v>31175.612000325018</v>
      </c>
      <c r="I42" s="70">
        <f>IFERROR(VLOOKUP("At-217",$A$4:$L$32,9)/$B42,0)</f>
        <v>0</v>
      </c>
      <c r="J42" s="71">
        <f>IFERROR(VLOOKUP("At-217",$A$4:$L$32,10)/$B42,0)</f>
        <v>5.2435684811535872E-16</v>
      </c>
      <c r="K42" s="72">
        <f>IFERROR(VLOOKUP("At-217",$A$4:$L$32,11)/$B42,0)</f>
        <v>5.2435684811535872E-16</v>
      </c>
    </row>
    <row r="43" spans="1:11">
      <c r="A43" s="31" t="s">
        <v>184</v>
      </c>
      <c r="B43" s="33">
        <v>0.99987999999999999</v>
      </c>
      <c r="C43" s="70">
        <f>IFERROR(VLOOKUP("Bi-213",$A$4:$L$32,3)/$B43,0)</f>
        <v>1.2290816382819481</v>
      </c>
      <c r="D43" s="71">
        <f>IFERROR(VLOOKUP("Bi-213",$A$4:$L$32,4)/$B43,0)</f>
        <v>1503.7817241838459</v>
      </c>
      <c r="E43" s="72">
        <f t="shared" si="49"/>
        <v>1.2280778968684525</v>
      </c>
      <c r="F43" s="70">
        <f>IFERROR(VLOOKUP("Bi-213",$A$4:$L$32,6)/$B43,0)</f>
        <v>4.547602061643212E-2</v>
      </c>
      <c r="G43" s="71">
        <f>IFERROR(VLOOKUP("Bi-213",$A$4:$L$32,7)/$B43,0)</f>
        <v>55.639923794802357</v>
      </c>
      <c r="H43" s="72">
        <f t="shared" si="51"/>
        <v>4.5438882184132785E-2</v>
      </c>
      <c r="I43" s="70">
        <f>IFERROR(VLOOKUP("Bi-213",$A$4:$L$32,9)/$B43,0)</f>
        <v>6.3581768148331724E-17</v>
      </c>
      <c r="J43" s="71">
        <f>IFERROR(VLOOKUP("Bi-213",$A$4:$L$32,10)/$B43,0)</f>
        <v>7.7792310904918453E-14</v>
      </c>
      <c r="K43" s="72">
        <f>IFERROR(VLOOKUP("Bi-213",$A$4:$L$32,11)/$B43,0)</f>
        <v>6.352984348210456E-17</v>
      </c>
    </row>
    <row r="44" spans="1:11">
      <c r="A44" s="31" t="s">
        <v>185</v>
      </c>
      <c r="B44" s="32">
        <v>0.97898250799999997</v>
      </c>
      <c r="C44" s="70">
        <f>IFERROR(VLOOKUP("Po-213",$A$4:$L$32,3)/$B44,0)</f>
        <v>0</v>
      </c>
      <c r="D44" s="71">
        <f>IFERROR(VLOOKUP("Po-213",$A$4:$L$32,4)/$B44,0)</f>
        <v>5335167.8392150616</v>
      </c>
      <c r="E44" s="72">
        <f t="shared" si="49"/>
        <v>5335167.8392150616</v>
      </c>
      <c r="F44" s="70">
        <f>IFERROR(VLOOKUP("Po-213",$A$4:$L$32,6)/$B44,0)</f>
        <v>0</v>
      </c>
      <c r="G44" s="71">
        <f>IFERROR(VLOOKUP("Po-213",$A$4:$L$32,7)/$B44,0)</f>
        <v>197401.21005095748</v>
      </c>
      <c r="H44" s="72">
        <f t="shared" si="51"/>
        <v>197401.21005095748</v>
      </c>
      <c r="I44" s="70">
        <f>IFERROR(VLOOKUP("Po-213",$A$4:$L$32,9)/$B44,0)</f>
        <v>0</v>
      </c>
      <c r="J44" s="71">
        <f>IFERROR(VLOOKUP("Po-213",$A$4:$L$32,10)/$B44,0)</f>
        <v>4.2376824001436125E-19</v>
      </c>
      <c r="K44" s="72">
        <f>IFERROR(VLOOKUP("Po-213",$A$4:$L$32,11)/$B44,0)</f>
        <v>4.2376824001436125E-19</v>
      </c>
    </row>
    <row r="45" spans="1:11">
      <c r="A45" s="31" t="s">
        <v>186</v>
      </c>
      <c r="B45" s="32">
        <v>2.0897492E-2</v>
      </c>
      <c r="C45" s="70">
        <f>IFERROR(VLOOKUP("Tl-209",$A$4:$L$32,3)/$B45,0)</f>
        <v>0</v>
      </c>
      <c r="D45" s="71">
        <f>IFERROR(VLOOKUP("Tl-209",$A$4:$L$32,4)/$B45,0)</f>
        <v>4190.1038754348656</v>
      </c>
      <c r="E45" s="72">
        <f t="shared" si="49"/>
        <v>4190.1038754348656</v>
      </c>
      <c r="F45" s="70">
        <f>IFERROR(VLOOKUP("Tl-209",$A$4:$L$32,6)/$B45,0)</f>
        <v>0</v>
      </c>
      <c r="G45" s="71">
        <f>IFERROR(VLOOKUP("Tl-209",$A$4:$L$32,7)/$B45,0)</f>
        <v>155.03384339109019</v>
      </c>
      <c r="H45" s="72">
        <f t="shared" si="51"/>
        <v>155.03384339109019</v>
      </c>
      <c r="I45" s="70">
        <f>IFERROR(VLOOKUP("Tl-209",$A$4:$L$32,9)/$B45,0)</f>
        <v>0</v>
      </c>
      <c r="J45" s="71">
        <f>IFERROR(VLOOKUP("Tl-209",$A$4:$L$32,10)/$B45,0)</f>
        <v>1.0081578064424596E-14</v>
      </c>
      <c r="K45" s="72">
        <f>IFERROR(VLOOKUP("Tl-209",$A$4:$L$32,11)/$B45,0)</f>
        <v>1.0081578064424596E-14</v>
      </c>
    </row>
    <row r="46" spans="1:11">
      <c r="A46" s="31" t="s">
        <v>187</v>
      </c>
      <c r="B46" s="32">
        <v>0.99987999999999999</v>
      </c>
      <c r="C46" s="70">
        <f>IFERROR(VLOOKUP("Pb-209",$A$4:$L$32,3)/$B46,0)</f>
        <v>625.10599081675002</v>
      </c>
      <c r="D46" s="71">
        <f>IFERROR(VLOOKUP("Pb-209",$A$4:$L$32,4)/$B46,0)</f>
        <v>89324.634416520494</v>
      </c>
      <c r="E46" s="72">
        <f t="shared" si="49"/>
        <v>620.76181485820416</v>
      </c>
      <c r="F46" s="70">
        <f>IFERROR(VLOOKUP("Pb-209",$A$4:$L$32,6)/$B46,0)</f>
        <v>23.12892166021977</v>
      </c>
      <c r="G46" s="71">
        <f>IFERROR(VLOOKUP("Pb-209",$A$4:$L$32,7)/$B46,0)</f>
        <v>3305.0114734112617</v>
      </c>
      <c r="H46" s="72">
        <f t="shared" si="51"/>
        <v>22.968187149753575</v>
      </c>
      <c r="I46" s="70">
        <f>IFERROR(VLOOKUP("Pb-209",$A$4:$L$32,9)/$B46,0)</f>
        <v>1.3584321004701527E-13</v>
      </c>
      <c r="J46" s="71">
        <f>IFERROR(VLOOKUP("Pb-209",$A$4:$L$32,10)/$B46,0)</f>
        <v>1.941134024257555E-11</v>
      </c>
      <c r="K46" s="72">
        <f>IFERROR(VLOOKUP("Pb-209",$A$4:$L$32,11)/$B46,0)</f>
        <v>1.3489916725125373E-13</v>
      </c>
    </row>
    <row r="47" spans="1:11">
      <c r="A47" s="30" t="s">
        <v>17</v>
      </c>
      <c r="B47" s="30" t="s">
        <v>59</v>
      </c>
      <c r="C47" s="76">
        <f>IFERROR(1/SUM(1/C48),0)</f>
        <v>1.0462149225714645</v>
      </c>
      <c r="D47" s="77">
        <f>IFERROR(1/SUM(1/D48,1/D49),0)</f>
        <v>350.42474812443277</v>
      </c>
      <c r="E47" s="78">
        <f>IFERROR(1/SUM(1/E48,1/E49),".")</f>
        <v>1.0431006804880727</v>
      </c>
      <c r="F47" s="76">
        <f>IFERROR(1/SUM(1/F48),0)</f>
        <v>3.8709952135144228E-2</v>
      </c>
      <c r="G47" s="77">
        <f>IFERROR(1/SUM(1/G48,1/G49),0)</f>
        <v>12.965715680604026</v>
      </c>
      <c r="H47" s="78">
        <f>IFERROR(1/SUM(1/H48,1/H49),".")</f>
        <v>3.8594725178058731E-2</v>
      </c>
      <c r="I47" s="73">
        <f>IFERROR(C47*Isospec!$C$11*Isospec!$F$11*SSLcm_m,".")</f>
        <v>1.210690324515468E-11</v>
      </c>
      <c r="J47" s="74">
        <f>IFERROR(D47*Isospec!$C$11*Isospec!$F$11*SSLcm_m,".")</f>
        <v>4.0551500735838594E-9</v>
      </c>
      <c r="K47" s="75">
        <f>IFERROR(E47*Isospec!$C$11*Isospec!$F$11*SSLcm_m,".")</f>
        <v>1.2070864925711728E-11</v>
      </c>
    </row>
    <row r="48" spans="1:11">
      <c r="A48" s="31" t="s">
        <v>188</v>
      </c>
      <c r="B48" s="32">
        <v>1</v>
      </c>
      <c r="C48" s="70">
        <f>IFERROR(VLOOKUP("Cs-137",$A$4:$L$32,3)/$B48,0)</f>
        <v>1.0462149225714645</v>
      </c>
      <c r="D48" s="71">
        <f>IFERROR(VLOOKUP("Cs-137",$A$4:$L$32,4)/$B48,0)</f>
        <v>95014.80368126648</v>
      </c>
      <c r="E48" s="72">
        <f>IFERROR(IF(AND(C48&lt;&gt;0,D48&lt;&gt;0),(1/((1/C48)+(1/D48))),IF(AND(C48&lt;&gt;0,D48=0),(1/(1/C48)),IF(AND(C48=0,D48&lt;&gt;0),(1/(1/D48)),0))),0)</f>
        <v>1.0462034027496094</v>
      </c>
      <c r="F48" s="70">
        <f>IFERROR(VLOOKUP("Cs-137",$A$4:$L$32,6)/$B48,0)</f>
        <v>3.8709952135144228E-2</v>
      </c>
      <c r="G48" s="71">
        <f>IFERROR(VLOOKUP("Cs-137",$A$4:$L$32,7)/$B48,0)</f>
        <v>3515.5477362068632</v>
      </c>
      <c r="H48" s="72">
        <f>IFERROR(IF(AND(F48&lt;&gt;0,G48&lt;&gt;0),(1/((1/F48)+(1/G48))),IF(AND(F48&lt;&gt;0,G48=0),(1/(1/F48)),IF(AND(F48=0,G48&lt;&gt;0),(1/(1/G48)),0))),0)</f>
        <v>3.8709525901735591E-2</v>
      </c>
      <c r="I48" s="70">
        <f>IFERROR(VLOOKUP("Cs-137",$A$4:$L$32,9)/$B48,0)</f>
        <v>1.210690324515468E-11</v>
      </c>
      <c r="J48" s="71">
        <f>IFERROR(VLOOKUP("Cs-137",$A$4:$L$32,10)/$B48,0)</f>
        <v>1.0995207678734704E-6</v>
      </c>
      <c r="K48" s="72">
        <f>IFERROR(VLOOKUP("Cs-137",$A$4:$L$32,11)/$B48,0)</f>
        <v>1.2106769936629259E-11</v>
      </c>
    </row>
    <row r="49" spans="1:11">
      <c r="A49" s="31" t="s">
        <v>189</v>
      </c>
      <c r="B49" s="32">
        <v>0.94399</v>
      </c>
      <c r="C49" s="70">
        <f>IFERROR(VLOOKUP("Ba-137m",$A$4:$L$32,3)/$B49,0)</f>
        <v>0</v>
      </c>
      <c r="D49" s="71">
        <f>IFERROR(VLOOKUP("Ba-137m",$A$4:$L$32,4)/$B49,0)</f>
        <v>351.72193620596869</v>
      </c>
      <c r="E49" s="72">
        <f>IFERROR(IF(AND(C49&lt;&gt;0,D49&lt;&gt;0),(1/((1/C49)+(1/D49))),IF(AND(C49&lt;&gt;0,D49=0),(1/(1/C49)),IF(AND(C49=0,D49&lt;&gt;0),(1/(1/D49)),0))),0)</f>
        <v>351.72193620596869</v>
      </c>
      <c r="F49" s="70">
        <f>IFERROR(VLOOKUP("Ba-137m",$A$4:$L$32,6)/$B49,0)</f>
        <v>0</v>
      </c>
      <c r="G49" s="71">
        <f>IFERROR(VLOOKUP("Ba-137m",$A$4:$L$32,7)/$B49,0)</f>
        <v>13.013711639620855</v>
      </c>
      <c r="H49" s="72">
        <f>IFERROR(IF(AND(F49&lt;&gt;0,G49&lt;&gt;0),(1/((1/F49)+(1/G49))),IF(AND(F49&lt;&gt;0,G49=0),(1/(1/F49)),IF(AND(F49=0,G49&lt;&gt;0),(1/(1/G49)),0))),0)</f>
        <v>13.013711639620855</v>
      </c>
      <c r="I49" s="70">
        <f>IFERROR(VLOOKUP("Ba-137m",$A$4:$L$32,9)/$B49,0)</f>
        <v>0</v>
      </c>
      <c r="J49" s="71">
        <f>IFERROR(VLOOKUP("Ba-137m",$A$4:$L$32,10)/$B49,0)</f>
        <v>6.5509361610998725E-16</v>
      </c>
      <c r="K49" s="72">
        <f>IFERROR(VLOOKUP("Ba-137m",$A$4:$L$32,11)/$B49,0)</f>
        <v>6.5509361610998725E-16</v>
      </c>
    </row>
    <row r="50" spans="1:11">
      <c r="A50" s="30" t="s">
        <v>27</v>
      </c>
      <c r="B50" s="30" t="s">
        <v>59</v>
      </c>
      <c r="C50" s="76">
        <f>IFERROR(1/SUM(1/C51,1/C56,1/C57,1/C60,1/C61,1/C62),0)</f>
        <v>2.0599756971327833E-3</v>
      </c>
      <c r="D50" s="77">
        <f>IFERROR(1/SUM(1/D51,1/D52,1/D53,1/D56,1/D54,1/D57,1/D55,1/D58,1/D59,1/D60,1/D61,1/D63,1/D62,1/D64),0)</f>
        <v>107.78486373419169</v>
      </c>
      <c r="E50" s="78">
        <f>IFERROR(1/SUM(1/E51,1/E52,1/E53,1/E56,1/E54,1/E57,1/E55,1/E58,1/E59,1/E60,1/E61,1/E63,1/E62,1/E64),0)</f>
        <v>2.0595639015917877E-3</v>
      </c>
      <c r="F50" s="76">
        <f>IFERROR(1/SUM(1/F51,1/F56,1/F57,1/F60,1/F61,1/F62),0)</f>
        <v>7.6219100793913062E-5</v>
      </c>
      <c r="G50" s="77">
        <f>IFERROR(1/SUM(1/G51,1/G52,1/G53,1/G56,1/G54,1/G57,1/G55,1/G58,1/G59,1/G60,1/G61,1/G63,1/G62,1/G64),0)</f>
        <v>3.9880399581650954</v>
      </c>
      <c r="H50" s="78">
        <f>IFERROR(1/SUM(1/H51,1/H52,1/H53,1/H56,1/H54,1/H57,1/H55,1/H58,1/H59,1/H60,1/H61,1/H63,1/H62,1/H64),0)</f>
        <v>7.62038643588962E-5</v>
      </c>
      <c r="I50" s="73">
        <f>IFERROR(C50*Isospec!$C$24*Isospec!$F$24*SSLcm_m,".")</f>
        <v>2.0856841938330006E-12</v>
      </c>
      <c r="J50" s="74">
        <f>IFERROR(D50*Isospec!$C$24*Isospec!$F$24*SSLcm_m,".")</f>
        <v>1.0913001883359441E-7</v>
      </c>
      <c r="K50" s="75">
        <f>IFERROR(E50*Isospec!$C$24*Isospec!$F$24*SSLcm_m,".")</f>
        <v>2.0852672590836533E-12</v>
      </c>
    </row>
    <row r="51" spans="1:11">
      <c r="A51" s="31" t="s">
        <v>190</v>
      </c>
      <c r="B51" s="32">
        <v>1</v>
      </c>
      <c r="C51" s="70">
        <f>IFERROR(VLOOKUP("Ra-226",$A$4:$L$32,3)/$B51,0)</f>
        <v>4.2356468224495217E-3</v>
      </c>
      <c r="D51" s="71">
        <f>IFERROR(VLOOKUP("Ra-226",$A$4:$L$32,4)/$B51,0)</f>
        <v>28718.300791122347</v>
      </c>
      <c r="E51" s="72">
        <f t="shared" ref="E51:E64" si="52">IFERROR(IF(AND(C51&lt;&gt;0,D51&lt;&gt;0),(1/((1/C51)+(1/D51))),IF(AND(C51&lt;&gt;0,D51=0),(1/(1/C51)),IF(AND(C51=0,D51&lt;&gt;0),(1/(1/D51)),0))),0)</f>
        <v>4.2356461977363299E-3</v>
      </c>
      <c r="F51" s="70">
        <f>IFERROR(VLOOKUP("Ra-226",$A$4:$L$32,6)/$B51,0)</f>
        <v>1.5671893243063246E-4</v>
      </c>
      <c r="G51" s="71">
        <f>IFERROR(VLOOKUP("Ra-226",$A$4:$L$32,7)/$B51,0)</f>
        <v>1062.5771292715278</v>
      </c>
      <c r="H51" s="72">
        <f t="shared" ref="H51:H64" si="53">IFERROR(IF(AND(F51&lt;&gt;0,G51&lt;&gt;0),(1/((1/F51)+(1/G51))),IF(AND(F51&lt;&gt;0,G51=0),(1/(1/F51)),IF(AND(F51=0,G51&lt;&gt;0),(1/(1/G51)),0))),0)</f>
        <v>1.5671890931624434E-4</v>
      </c>
      <c r="I51" s="70">
        <f>IFERROR(VLOOKUP("Ra-226",$A$4:$L$32,9)/$B51,0)</f>
        <v>4.2885076947936923E-12</v>
      </c>
      <c r="J51" s="71">
        <f>IFERROR(VLOOKUP("Ra-226",$A$4:$L$32,10)/$B51,0)</f>
        <v>2.9076705184995553E-5</v>
      </c>
      <c r="K51" s="72">
        <f>IFERROR(VLOOKUP("Ra-226",$A$4:$L$32,11)/$B51,0)</f>
        <v>4.2885070622840802E-12</v>
      </c>
    </row>
    <row r="52" spans="1:11">
      <c r="A52" s="31" t="s">
        <v>191</v>
      </c>
      <c r="B52" s="32">
        <v>1</v>
      </c>
      <c r="C52" s="70">
        <f>IFERROR(VLOOKUP("Rn-222",$A$4:$L$32,3)/$B52,0)</f>
        <v>24.644351206649045</v>
      </c>
      <c r="D52" s="71">
        <f>IFERROR(VLOOKUP("Rn-222",$A$4:$L$32,4)/$B52,0)</f>
        <v>516265.40728549421</v>
      </c>
      <c r="E52" s="72">
        <f t="shared" si="52"/>
        <v>24.643174844554771</v>
      </c>
      <c r="F52" s="70">
        <f>IFERROR(VLOOKUP("Rn-222",$A$4:$L$32,6)/$B52,0)</f>
        <v>0.91184099464601553</v>
      </c>
      <c r="G52" s="71">
        <f>IFERROR(VLOOKUP("Rn-222",$A$4:$L$32,7)/$B52,0)</f>
        <v>19101.820069563306</v>
      </c>
      <c r="H52" s="72">
        <f t="shared" si="53"/>
        <v>0.91179746924852745</v>
      </c>
      <c r="I52" s="70">
        <f>IFERROR(VLOOKUP("Rn-222",$A$4:$L$32,9)/$B52,0)</f>
        <v>1.6047102444626153E-13</v>
      </c>
      <c r="J52" s="71">
        <f>IFERROR(VLOOKUP("Rn-222",$A$4:$L$32,10)/$B52,0)</f>
        <v>3.3616481967242032E-9</v>
      </c>
      <c r="K52" s="72">
        <f>IFERROR(VLOOKUP("Rn-222",$A$4:$L$32,11)/$B52,0)</f>
        <v>1.6046336459639147E-13</v>
      </c>
    </row>
    <row r="53" spans="1:11">
      <c r="A53" s="31" t="s">
        <v>192</v>
      </c>
      <c r="B53" s="32">
        <v>1</v>
      </c>
      <c r="C53" s="70">
        <f>IFERROR(VLOOKUP("Po-218",$A$4:$L$32,3)/$B53,0)</f>
        <v>21.183792703878115</v>
      </c>
      <c r="D53" s="71">
        <f>IFERROR(VLOOKUP("Po-218",$A$4:$L$32,4)/$B53,0)</f>
        <v>3408928071.0072703</v>
      </c>
      <c r="E53" s="72">
        <f t="shared" si="52"/>
        <v>21.183792572237593</v>
      </c>
      <c r="F53" s="70">
        <f>IFERROR(VLOOKUP("Po-218",$A$4:$L$32,6)/$B53,0)</f>
        <v>0.78380033004349103</v>
      </c>
      <c r="G53" s="71">
        <f>IFERROR(VLOOKUP("Po-218",$A$4:$L$32,7)/$B53,0)</f>
        <v>126130338.62726913</v>
      </c>
      <c r="H53" s="72">
        <f t="shared" si="53"/>
        <v>0.78380032517279163</v>
      </c>
      <c r="I53" s="70">
        <f>IFERROR(VLOOKUP("Po-218",$A$4:$L$32,9)/$B53,0)</f>
        <v>7.6264878055529374E-17</v>
      </c>
      <c r="J53" s="71">
        <f>IFERROR(VLOOKUP("Po-218",$A$4:$L$32,10)/$B53,0)</f>
        <v>1.227265991834624E-8</v>
      </c>
      <c r="K53" s="72">
        <f>IFERROR(VLOOKUP("Po-218",$A$4:$L$32,11)/$B53,0)</f>
        <v>7.6264877581603448E-17</v>
      </c>
    </row>
    <row r="54" spans="1:11">
      <c r="A54" s="31" t="s">
        <v>194</v>
      </c>
      <c r="B54" s="32">
        <v>2.0000000000000001E-4</v>
      </c>
      <c r="C54" s="70">
        <f>IFERROR(VLOOKUP("At-218",$A$4:$L$32,3)/$B54,0)</f>
        <v>0</v>
      </c>
      <c r="D54" s="71">
        <f>IFERROR(VLOOKUP("At-218",$A$4:$L$32,4)/$B54,0)</f>
        <v>45568324214.484932</v>
      </c>
      <c r="E54" s="72">
        <f>IFERROR(IF(AND(C54&lt;&gt;0,D54&lt;&gt;0),(1/((1/C54)+(1/D54))),IF(AND(C54&lt;&gt;0,D54=0),(1/(1/C54)),IF(AND(C54=0,D54&lt;&gt;0),(1/(1/D54)),0))),0)</f>
        <v>45568324214.484932</v>
      </c>
      <c r="F54" s="70">
        <f>IFERROR(VLOOKUP("At-218",$A$4:$L$32,6)/$B54,0)</f>
        <v>0</v>
      </c>
      <c r="G54" s="71">
        <f>IFERROR(VLOOKUP("At-218",$A$4:$L$32,7)/$B54,0)</f>
        <v>1686027995.9359441</v>
      </c>
      <c r="H54" s="72">
        <f>IFERROR(IF(AND(F54&lt;&gt;0,G54&lt;&gt;0),(1/((1/F54)+(1/G54))),IF(AND(F54&lt;&gt;0,G54=0),(1/(1/F54)),IF(AND(F54=0,G54&lt;&gt;0),(1/(1/G54)),0))),0)</f>
        <v>1686027995.9359441</v>
      </c>
      <c r="I54" s="70">
        <f>IFERROR(VLOOKUP("At-218",$A$4:$L$32,9)/$B54,0)</f>
        <v>0</v>
      </c>
      <c r="J54" s="71">
        <f>IFERROR(VLOOKUP("At-218",$A$4:$L$32,10)/$B54,0)</f>
        <v>1.3230072821785421E-9</v>
      </c>
      <c r="K54" s="72">
        <f>IFERROR(VLOOKUP("At-218",$A$4:$L$32,11)/$B54,0)</f>
        <v>1.3230072821785421E-9</v>
      </c>
    </row>
    <row r="55" spans="1:11">
      <c r="A55" s="31" t="s">
        <v>196</v>
      </c>
      <c r="B55" s="32">
        <v>1.9999999999999999E-7</v>
      </c>
      <c r="C55" s="70">
        <f>IFERROR(VLOOKUP("Rn-218",$A$4:$L$32,3)/$B55,0)</f>
        <v>0</v>
      </c>
      <c r="D55" s="71">
        <f>IFERROR(VLOOKUP("Rn-218",$A$4:$L$32,4)/$B55,0)</f>
        <v>1313439933241.0366</v>
      </c>
      <c r="E55" s="72">
        <f>IFERROR(IF(AND(C55&lt;&gt;0,D55&lt;&gt;0),(1/((1/C55)+(1/D55))),IF(AND(C55&lt;&gt;0,D55=0),(1/(1/C55)),IF(AND(C55=0,D55&lt;&gt;0),(1/(1/D55)),0))),0)</f>
        <v>1313439933241.0366</v>
      </c>
      <c r="F55" s="70">
        <f>IFERROR(VLOOKUP("Rn-218",$A$4:$L$32,6)/$B55,0)</f>
        <v>0</v>
      </c>
      <c r="G55" s="71">
        <f>IFERROR(VLOOKUP("Rn-218",$A$4:$L$32,7)/$B55,0)</f>
        <v>48597277529.918404</v>
      </c>
      <c r="H55" s="72">
        <f>IFERROR(IF(AND(F55&lt;&gt;0,G55&lt;&gt;0),(1/((1/F55)+(1/G55))),IF(AND(F55&lt;&gt;0,G55=0),(1/(1/F55)),IF(AND(F55=0,G55&lt;&gt;0),(1/(1/G55)),0))),0)</f>
        <v>48597277529.918404</v>
      </c>
      <c r="I55" s="70">
        <f>IFERROR(VLOOKUP("Rn-218",$A$4:$L$32,9)/$B55,0)</f>
        <v>0</v>
      </c>
      <c r="J55" s="71">
        <f>IFERROR(VLOOKUP("Rn-218",$A$4:$L$32,10)/$B55,0)</f>
        <v>8.8978725056324531E-10</v>
      </c>
      <c r="K55" s="72">
        <f>IFERROR(VLOOKUP("Rn-218",$A$4:$L$32,11)/$B55,0)</f>
        <v>8.8978725056324531E-10</v>
      </c>
    </row>
    <row r="56" spans="1:11">
      <c r="A56" s="31" t="s">
        <v>193</v>
      </c>
      <c r="B56" s="32">
        <v>0.99980000000000002</v>
      </c>
      <c r="C56" s="70">
        <f>IFERROR(VLOOKUP("Pb-214",$A$4:$L$32,3)/$B56,0)</f>
        <v>3.464652166561021</v>
      </c>
      <c r="D56" s="71">
        <f>IFERROR(VLOOKUP("Pb-214",$A$4:$L$32,4)/$B56,0)</f>
        <v>804.79082717796246</v>
      </c>
      <c r="E56" s="72">
        <f t="shared" si="52"/>
        <v>3.449800656188347</v>
      </c>
      <c r="F56" s="70">
        <f>IFERROR(VLOOKUP("Pb-214",$A$4:$L$32,6)/$B56,0)</f>
        <v>0.12819213016275791</v>
      </c>
      <c r="G56" s="71">
        <f>IFERROR(VLOOKUP("Pb-214",$A$4:$L$32,7)/$B56,0)</f>
        <v>29.777260605584644</v>
      </c>
      <c r="H56" s="72">
        <f t="shared" si="53"/>
        <v>0.12764262427896897</v>
      </c>
      <c r="I56" s="70">
        <f>IFERROR(VLOOKUP("Pb-214",$A$4:$L$32,9)/$B56,0)</f>
        <v>1.0585487955831365E-16</v>
      </c>
      <c r="J56" s="71">
        <f>IFERROR(VLOOKUP("Pb-214",$A$4:$L$32,10)/$B56,0)</f>
        <v>2.4588625924061691E-14</v>
      </c>
      <c r="K56" s="72">
        <f>IFERROR(VLOOKUP("Pb-214",$A$4:$L$32,11)/$B56,0)</f>
        <v>1.05401124097107E-16</v>
      </c>
    </row>
    <row r="57" spans="1:11">
      <c r="A57" s="31" t="s">
        <v>195</v>
      </c>
      <c r="B57" s="32">
        <v>0.99999979999999999</v>
      </c>
      <c r="C57" s="70">
        <f>IFERROR(VLOOKUP("Bi-214",$A$4:$L$32,3)/$B57,0)</f>
        <v>4.4103970679687921</v>
      </c>
      <c r="D57" s="71">
        <f>IFERROR(VLOOKUP("Bi-214",$A$4:$L$32,4)/$B57,0)</f>
        <v>125.61734644610007</v>
      </c>
      <c r="E57" s="72">
        <f t="shared" si="52"/>
        <v>4.2608012834734392</v>
      </c>
      <c r="F57" s="70">
        <f>IFERROR(VLOOKUP("Bi-214",$A$4:$L$32,6)/$B57,0)</f>
        <v>0.16318469151484544</v>
      </c>
      <c r="G57" s="71">
        <f>IFERROR(VLOOKUP("Bi-214",$A$4:$L$32,7)/$B57,0)</f>
        <v>4.6478418185057073</v>
      </c>
      <c r="H57" s="72">
        <f t="shared" si="53"/>
        <v>0.15764964748851734</v>
      </c>
      <c r="I57" s="70">
        <f>IFERROR(VLOOKUP("Bi-214",$A$4:$L$32,9)/$B57,0)</f>
        <v>1.0005693963132692E-16</v>
      </c>
      <c r="J57" s="71">
        <f>IFERROR(VLOOKUP("Bi-214",$A$4:$L$32,10)/$B57,0)</f>
        <v>2.8498312184380067E-15</v>
      </c>
      <c r="K57" s="72">
        <f>IFERROR(VLOOKUP("Bi-214",$A$4:$L$32,11)/$B57,0)</f>
        <v>9.6663119041552632E-17</v>
      </c>
    </row>
    <row r="58" spans="1:11">
      <c r="A58" s="31" t="s">
        <v>197</v>
      </c>
      <c r="B58" s="32">
        <v>0.99979000004200003</v>
      </c>
      <c r="C58" s="70">
        <f>IFERROR(VLOOKUP("Po-214",$A$4:$L$32,3)/$B58,0)</f>
        <v>0</v>
      </c>
      <c r="D58" s="71">
        <f>IFERROR(VLOOKUP("Po-214",$A$4:$L$32,4)/$B58,0)</f>
        <v>2350859.8768014573</v>
      </c>
      <c r="E58" s="72">
        <f t="shared" si="52"/>
        <v>2350859.8768014573</v>
      </c>
      <c r="F58" s="70">
        <f>IFERROR(VLOOKUP("Po-214",$A$4:$L$32,6)/$B58,0)</f>
        <v>0</v>
      </c>
      <c r="G58" s="71">
        <f>IFERROR(VLOOKUP("Po-214",$A$4:$L$32,7)/$B58,0)</f>
        <v>86981.81544165402</v>
      </c>
      <c r="H58" s="72">
        <f t="shared" si="53"/>
        <v>86981.81544165402</v>
      </c>
      <c r="I58" s="70">
        <f>IFERROR(VLOOKUP("Po-214",$A$4:$L$32,9)/$B58,0)</f>
        <v>0</v>
      </c>
      <c r="J58" s="71">
        <f>IFERROR(VLOOKUP("Po-214",$A$4:$L$32,10)/$B58,0)</f>
        <v>7.3388752420370351E-18</v>
      </c>
      <c r="K58" s="72">
        <f>IFERROR(VLOOKUP("Po-214",$A$4:$L$32,11)/$B58,0)</f>
        <v>7.3388752420370351E-18</v>
      </c>
    </row>
    <row r="59" spans="1:11">
      <c r="A59" s="31" t="s">
        <v>198</v>
      </c>
      <c r="B59" s="32">
        <v>2.0999995799999999E-4</v>
      </c>
      <c r="C59" s="70">
        <f>IFERROR(VLOOKUP("Tl-210",$A$4:$L$32,3)/$B59,0)</f>
        <v>0</v>
      </c>
      <c r="D59" s="71">
        <f>IFERROR(VLOOKUP("Tl-210",$A$4:$L$32,4)/$B59,0)</f>
        <v>322200.33666369825</v>
      </c>
      <c r="E59" s="72">
        <f t="shared" si="52"/>
        <v>322200.33666369825</v>
      </c>
      <c r="F59" s="70">
        <f>IFERROR(VLOOKUP("Tl-210",$A$4:$L$32,6)/$B59,0)</f>
        <v>0</v>
      </c>
      <c r="G59" s="71">
        <f>IFERROR(VLOOKUP("Tl-210",$A$4:$L$32,7)/$B59,0)</f>
        <v>11921.412456556845</v>
      </c>
      <c r="H59" s="72">
        <f t="shared" si="53"/>
        <v>11921.412456556845</v>
      </c>
      <c r="I59" s="70">
        <f>IFERROR(VLOOKUP("Tl-210",$A$4:$L$32,9)/$B59,0)</f>
        <v>0</v>
      </c>
      <c r="J59" s="71">
        <f>IFERROR(VLOOKUP("Tl-210",$A$4:$L$32,10)/$B59,0)</f>
        <v>4.6858816085564529E-13</v>
      </c>
      <c r="K59" s="72">
        <f>IFERROR(VLOOKUP("Tl-210",$A$4:$L$32,11)/$B59,0)</f>
        <v>4.6858816085564529E-13</v>
      </c>
    </row>
    <row r="60" spans="1:11">
      <c r="A60" s="31" t="s">
        <v>199</v>
      </c>
      <c r="B60" s="32">
        <v>1</v>
      </c>
      <c r="C60" s="70">
        <f>IFERROR(VLOOKUP("Pb-210",$A$4:$L$32,3)/$B60,0)</f>
        <v>7.2350186187777887E-3</v>
      </c>
      <c r="D60" s="71">
        <f>IFERROR(VLOOKUP("Pb-210",$A$4:$L$32,4)/$B60,0)</f>
        <v>189626.14747428973</v>
      </c>
      <c r="E60" s="72">
        <f t="shared" si="52"/>
        <v>7.2350183427320382E-3</v>
      </c>
      <c r="F60" s="70">
        <f>IFERROR(VLOOKUP("Pb-210",$A$4:$L$32,6)/$B60,0)</f>
        <v>2.6769568889477844E-4</v>
      </c>
      <c r="G60" s="71">
        <f>IFERROR(VLOOKUP("Pb-210",$A$4:$L$32,7)/$B60,0)</f>
        <v>7016.1674565487274</v>
      </c>
      <c r="H60" s="72">
        <f t="shared" si="53"/>
        <v>2.6769567868108565E-4</v>
      </c>
      <c r="I60" s="70">
        <f>IFERROR(VLOOKUP("Pb-210",$A$4:$L$32,9)/$B60,0)</f>
        <v>9.4443039042077741E-14</v>
      </c>
      <c r="J60" s="71">
        <f>IFERROR(VLOOKUP("Pb-210",$A$4:$L$32,10)/$B60,0)</f>
        <v>2.4753038786703886E-6</v>
      </c>
      <c r="K60" s="72">
        <f>IFERROR(VLOOKUP("Pb-210",$A$4:$L$32,11)/$B60,0)</f>
        <v>9.4443035438686952E-14</v>
      </c>
    </row>
    <row r="61" spans="1:11">
      <c r="A61" s="31" t="s">
        <v>200</v>
      </c>
      <c r="B61" s="32">
        <v>1</v>
      </c>
      <c r="C61" s="70">
        <f>IFERROR(VLOOKUP("Bi-210",$A$4:$L$32,3)/$B61,0)</f>
        <v>0.29881617993993198</v>
      </c>
      <c r="D61" s="71">
        <f>IFERROR(VLOOKUP("Bi-210",$A$4:$L$32,4)/$B61,0)</f>
        <v>34617.796690073825</v>
      </c>
      <c r="E61" s="72">
        <f t="shared" si="52"/>
        <v>0.29881360062099233</v>
      </c>
      <c r="F61" s="70">
        <f>IFERROR(VLOOKUP("Bi-210",$A$4:$L$32,6)/$B61,0)</f>
        <v>1.1056198657777494E-2</v>
      </c>
      <c r="G61" s="71">
        <f>IFERROR(VLOOKUP("Bi-210",$A$4:$L$32,7)/$B61,0)</f>
        <v>1280.8584775327329</v>
      </c>
      <c r="H61" s="72">
        <f t="shared" si="53"/>
        <v>1.1056103222976727E-2</v>
      </c>
      <c r="I61" s="70">
        <f>IFERROR(VLOOKUP("Bi-210",$A$4:$L$32,9)/$B61,0)</f>
        <v>2.4131608764461124E-15</v>
      </c>
      <c r="J61" s="71">
        <f>IFERROR(VLOOKUP("Bi-210",$A$4:$L$32,10)/$B61,0)</f>
        <v>2.7956422111428088E-10</v>
      </c>
      <c r="K61" s="72">
        <f>IFERROR(VLOOKUP("Bi-210",$A$4:$L$32,11)/$B61,0)</f>
        <v>2.4131400465447518E-15</v>
      </c>
    </row>
    <row r="62" spans="1:11">
      <c r="A62" s="31" t="s">
        <v>202</v>
      </c>
      <c r="B62" s="32">
        <v>1</v>
      </c>
      <c r="C62" s="70">
        <f>IFERROR(VLOOKUP("Po-210",$A$4:$L$32,3)/$B62,0)</f>
        <v>9.3220432203483042E-3</v>
      </c>
      <c r="D62" s="71">
        <f>IFERROR(VLOOKUP("Po-210",$A$4:$L$32,4)/$B62,0)</f>
        <v>20070542.80008775</v>
      </c>
      <c r="E62" s="72">
        <f>IFERROR(IF(AND(C62&lt;&gt;0,D62&lt;&gt;0),(1/((1/C62)+(1/D62))),IF(AND(C62&lt;&gt;0,D62=0),(1/(1/C62)),IF(AND(C62=0,D62&lt;&gt;0),(1/(1/D62)),0))),0)</f>
        <v>9.3220432160185523E-3</v>
      </c>
      <c r="F62" s="70">
        <f>IFERROR(VLOOKUP("Po-210",$A$4:$L$32,6)/$B62,0)</f>
        <v>3.4491559915288762E-4</v>
      </c>
      <c r="G62" s="71">
        <f>IFERROR(VLOOKUP("Po-210",$A$4:$L$32,7)/$B62,0)</f>
        <v>742610.08360324753</v>
      </c>
      <c r="H62" s="72">
        <f>IFERROR(IF(AND(F62&lt;&gt;0,G62&lt;&gt;0),(1/((1/F62)+(1/G62))),IF(AND(F62&lt;&gt;0,G62=0),(1/(1/F62)),IF(AND(F62=0,G62&lt;&gt;0),(1/(1/G62)),0))),0)</f>
        <v>3.4491559899268683E-4</v>
      </c>
      <c r="I62" s="70">
        <f>IFERROR(VLOOKUP("Po-210",$A$4:$L$32,9)/$B62,0)</f>
        <v>2.0780516903107848E-15</v>
      </c>
      <c r="J62" s="71">
        <f>IFERROR(VLOOKUP("Po-210",$A$4:$L$32,10)/$B62,0)</f>
        <v>4.4740862496901146E-6</v>
      </c>
      <c r="K62" s="72">
        <f>IFERROR(VLOOKUP("Po-210",$A$4:$L$32,11)/$B62,0)</f>
        <v>2.0780516893456052E-15</v>
      </c>
    </row>
    <row r="63" spans="1:11">
      <c r="A63" s="31" t="s">
        <v>201</v>
      </c>
      <c r="B63" s="34">
        <v>1.9000000000000001E-8</v>
      </c>
      <c r="C63" s="70">
        <f>IFERROR(VLOOKUP("Hg-206",$A$4:$L$32,3)/$B63,0)</f>
        <v>0</v>
      </c>
      <c r="D63" s="71">
        <f>IFERROR(VLOOKUP("Hg-206",$A$4:$L$32,4)/$B63,0)</f>
        <v>84545546630.434021</v>
      </c>
      <c r="E63" s="72">
        <f t="shared" si="52"/>
        <v>84545546630.434021</v>
      </c>
      <c r="F63" s="70">
        <f>IFERROR(VLOOKUP("Hg-206",$A$4:$L$32,6)/$B63,0)</f>
        <v>0</v>
      </c>
      <c r="G63" s="71">
        <f>IFERROR(VLOOKUP("Hg-206",$A$4:$L$32,7)/$B63,0)</f>
        <v>3128185225.3260617</v>
      </c>
      <c r="H63" s="72">
        <f t="shared" si="53"/>
        <v>3128185225.3260617</v>
      </c>
      <c r="I63" s="70">
        <f>IFERROR(VLOOKUP("Hg-206",$A$4:$L$32,9)/$B63,0)</f>
        <v>0</v>
      </c>
      <c r="J63" s="71">
        <f>IFERROR(VLOOKUP("Hg-206",$A$4:$L$32,10)/$B63,0)</f>
        <v>7.5616790537660366E-7</v>
      </c>
      <c r="K63" s="72">
        <f>IFERROR(VLOOKUP("Hg-206",$A$4:$L$32,11)/$B63,0)</f>
        <v>7.5616790537660366E-7</v>
      </c>
    </row>
    <row r="64" spans="1:11">
      <c r="A64" s="31" t="s">
        <v>203</v>
      </c>
      <c r="B64" s="32">
        <v>1.339E-6</v>
      </c>
      <c r="C64" s="70">
        <f>IFERROR(VLOOKUP("Tl-206",$A$4:$L$32,3)/$B64,0)</f>
        <v>0</v>
      </c>
      <c r="D64" s="71">
        <f>IFERROR(VLOOKUP("Tl-206",$A$4:$L$32,4)/$B64,0)</f>
        <v>16801499570.225252</v>
      </c>
      <c r="E64" s="72">
        <f t="shared" si="52"/>
        <v>16801499570.225254</v>
      </c>
      <c r="F64" s="70">
        <f>IFERROR(VLOOKUP("Tl-206",$A$4:$L$32,6)/$B64,0)</f>
        <v>0</v>
      </c>
      <c r="G64" s="71">
        <f>IFERROR(VLOOKUP("Tl-206",$A$4:$L$32,7)/$B64,0)</f>
        <v>621655484.09833491</v>
      </c>
      <c r="H64" s="72">
        <f t="shared" si="53"/>
        <v>621655484.09833491</v>
      </c>
      <c r="I64" s="70">
        <f>IFERROR(VLOOKUP("Tl-206",$A$4:$L$32,9)/$B64,0)</f>
        <v>0</v>
      </c>
      <c r="J64" s="71">
        <f>IFERROR(VLOOKUP("Tl-206",$A$4:$L$32,10)/$B64,0)</f>
        <v>7.7440336375275894E-8</v>
      </c>
      <c r="K64" s="72">
        <f>IFERROR(VLOOKUP("Tl-206",$A$4:$L$32,11)/$B64,0)</f>
        <v>7.7440336375275894E-8</v>
      </c>
    </row>
    <row r="65" spans="1:11">
      <c r="A65" s="30" t="s">
        <v>31</v>
      </c>
      <c r="B65" s="30" t="s">
        <v>59</v>
      </c>
      <c r="C65" s="76">
        <f>IFERROR(1/SUM(1/C66,1/C67,1/C70,1/C71,1/C74,1/C75,1/C76),0)</f>
        <v>4.0089969369286335E-3</v>
      </c>
      <c r="D65" s="77">
        <f>IFERROR(1/SUM(1/D66,1/D67,1/D68,1/D69,1/D70,1/D71,1/D72,1/D73,1/D74,1/D75,1/D76,1/D77),0)</f>
        <v>108.19092410765957</v>
      </c>
      <c r="E65" s="78">
        <f>IFERROR(1/SUM(1/E66,1/E67,1/E68,1/E69,1/E70,1/E71,1/E72,1/E73,1/E74,1/E75,1/E76,1/E77),0)</f>
        <v>4.0088483897094702E-3</v>
      </c>
      <c r="F65" s="76">
        <f>IFERROR(1/SUM(1/F66,1/F67,1/F70,1/F71,1/F74,1/F75,1/F76),0)</f>
        <v>1.483328866663596E-4</v>
      </c>
      <c r="G65" s="77">
        <f>IFERROR(1/SUM(1/G66,1/G67,1/G68,1/G69,1/G70,1/G71,1/G72,1/G73,1/G74,1/G75,1/G76,1/G77),0)</f>
        <v>4.0030641919834089</v>
      </c>
      <c r="H65" s="78">
        <f>IFERROR(1/SUM(1/H66,1/H67,1/H68,1/H69,1/H70,1/H71,1/H72,1/H73,1/H74,1/H75,1/H76,1/H77),0)</f>
        <v>1.4832739041925055E-4</v>
      </c>
      <c r="I65" s="73">
        <f>IFERROR(C65*Isospec!$C$26*Isospec!$F$26*SSLcm_m,".")</f>
        <v>2.610447481763255E-17</v>
      </c>
      <c r="J65" s="74">
        <f>IFERROR(D65*Isospec!$C$26*Isospec!$F$26*SSLcm_m,".")</f>
        <v>7.0448226783343889E-13</v>
      </c>
      <c r="K65" s="75">
        <f>IFERROR(E65*Isospec!$C$26*Isospec!$F$26*SSLcm_m,".")</f>
        <v>2.6103507556444056E-17</v>
      </c>
    </row>
    <row r="66" spans="1:11">
      <c r="A66" s="31" t="s">
        <v>191</v>
      </c>
      <c r="B66" s="32">
        <v>1</v>
      </c>
      <c r="C66" s="70">
        <f>IFERROR(VLOOKUP("Rn-222",$A$4:$L$32,3)/$B66,0)</f>
        <v>24.644351206649045</v>
      </c>
      <c r="D66" s="71">
        <f>IFERROR(VLOOKUP("Rn-222",$A$4:$L$32,4)/$B66,0)</f>
        <v>516265.40728549421</v>
      </c>
      <c r="E66" s="72">
        <f t="shared" ref="E66:E67" si="54">IFERROR(IF(AND(C66&lt;&gt;0,D66&lt;&gt;0),(1/((1/C66)+(1/D66))),IF(AND(C66&lt;&gt;0,D66=0),(1/(1/C66)),IF(AND(C66=0,D66&lt;&gt;0),(1/(1/D66)),0))),0)</f>
        <v>24.643174844554771</v>
      </c>
      <c r="F66" s="70">
        <f>IFERROR(VLOOKUP("Rn-222",$A$4:$L$32,6)/$B66,0)</f>
        <v>0.91184099464601553</v>
      </c>
      <c r="G66" s="71">
        <f>IFERROR(VLOOKUP("Rn-222",$A$4:$L$32,7)/$B66,0)</f>
        <v>19101.820069563306</v>
      </c>
      <c r="H66" s="72">
        <f t="shared" ref="H66:H67" si="55">IFERROR(IF(AND(F66&lt;&gt;0,G66&lt;&gt;0),(1/((1/F66)+(1/G66))),IF(AND(F66&lt;&gt;0,G66=0),(1/(1/F66)),IF(AND(F66=0,G66&lt;&gt;0),(1/(1/G66)),0))),0)</f>
        <v>0.91179746924852745</v>
      </c>
      <c r="I66" s="70">
        <f>IFERROR(VLOOKUP("Rn-222",$A$4:$L$32,9)/$B66,0)</f>
        <v>1.6047102444626153E-13</v>
      </c>
      <c r="J66" s="71">
        <f>IFERROR(VLOOKUP("Rn-222",$A$4:$L$32,10)/$B66,0)</f>
        <v>3.3616481967242032E-9</v>
      </c>
      <c r="K66" s="72">
        <f>IFERROR(VLOOKUP("Rn-222",$A$4:$L$32,11)/$B66,0)</f>
        <v>1.6046336459639147E-13</v>
      </c>
    </row>
    <row r="67" spans="1:11">
      <c r="A67" s="31" t="s">
        <v>192</v>
      </c>
      <c r="B67" s="32">
        <v>1</v>
      </c>
      <c r="C67" s="70">
        <f>IFERROR(VLOOKUP("Po-218",$A$4:$L$32,3)/$B67,0)</f>
        <v>21.183792703878115</v>
      </c>
      <c r="D67" s="71">
        <f>IFERROR(VLOOKUP("Po-218",$A$4:$L$32,4)/$B67,0)</f>
        <v>3408928071.0072703</v>
      </c>
      <c r="E67" s="72">
        <f t="shared" si="54"/>
        <v>21.183792572237593</v>
      </c>
      <c r="F67" s="70">
        <f>IFERROR(VLOOKUP("Po-218",$A$4:$L$32,6)/$B67,0)</f>
        <v>0.78380033004349103</v>
      </c>
      <c r="G67" s="71">
        <f>IFERROR(VLOOKUP("Po-218",$A$4:$L$32,7)/$B67,0)</f>
        <v>126130338.62726913</v>
      </c>
      <c r="H67" s="72">
        <f t="shared" si="55"/>
        <v>0.78380032517279163</v>
      </c>
      <c r="I67" s="70">
        <f>IFERROR(VLOOKUP("Po-218",$A$4:$L$32,9)/$B67,0)</f>
        <v>7.6264878055529374E-17</v>
      </c>
      <c r="J67" s="71">
        <f>IFERROR(VLOOKUP("Po-218",$A$4:$L$32,10)/$B67,0)</f>
        <v>1.227265991834624E-8</v>
      </c>
      <c r="K67" s="72">
        <f>IFERROR(VLOOKUP("Po-218",$A$4:$L$32,11)/$B67,0)</f>
        <v>7.6264877581603448E-17</v>
      </c>
    </row>
    <row r="68" spans="1:11">
      <c r="A68" s="31" t="s">
        <v>194</v>
      </c>
      <c r="B68" s="32">
        <v>2.0000000000000001E-4</v>
      </c>
      <c r="C68" s="70">
        <f>IFERROR(VLOOKUP("At-218",$A$4:$L$32,3)/$B68,0)</f>
        <v>0</v>
      </c>
      <c r="D68" s="71">
        <f>IFERROR(VLOOKUP("At-218",$A$4:$L$32,4)/$B68,0)</f>
        <v>45568324214.484932</v>
      </c>
      <c r="E68" s="72">
        <f>IFERROR(IF(AND(C68&lt;&gt;0,D68&lt;&gt;0),(1/((1/C68)+(1/D68))),IF(AND(C68&lt;&gt;0,D68=0),(1/(1/C68)),IF(AND(C68=0,D68&lt;&gt;0),(1/(1/D68)),0))),0)</f>
        <v>45568324214.484932</v>
      </c>
      <c r="F68" s="70">
        <f>IFERROR(VLOOKUP("At-218",$A$4:$L$32,6)/$B68,0)</f>
        <v>0</v>
      </c>
      <c r="G68" s="71">
        <f>IFERROR(VLOOKUP("At-218",$A$4:$L$32,7)/$B68,0)</f>
        <v>1686027995.9359441</v>
      </c>
      <c r="H68" s="72">
        <f>IFERROR(IF(AND(F68&lt;&gt;0,G68&lt;&gt;0),(1/((1/F68)+(1/G68))),IF(AND(F68&lt;&gt;0,G68=0),(1/(1/F68)),IF(AND(F68=0,G68&lt;&gt;0),(1/(1/G68)),0))),0)</f>
        <v>1686027995.9359441</v>
      </c>
      <c r="I68" s="70">
        <f>IFERROR(VLOOKUP("At-218",$A$4:$L$32,9)/$B68,0)</f>
        <v>0</v>
      </c>
      <c r="J68" s="71">
        <f>IFERROR(VLOOKUP("At-218",$A$4:$L$32,10)/$B68,0)</f>
        <v>1.3230072821785421E-9</v>
      </c>
      <c r="K68" s="72">
        <f>IFERROR(VLOOKUP("At-218",$A$4:$L$32,11)/$B68,0)</f>
        <v>1.3230072821785421E-9</v>
      </c>
    </row>
    <row r="69" spans="1:11">
      <c r="A69" s="31" t="s">
        <v>196</v>
      </c>
      <c r="B69" s="32">
        <v>1.9999999999999999E-7</v>
      </c>
      <c r="C69" s="70">
        <f>IFERROR(VLOOKUP("Rn-218",$A$4:$L$32,3)/$B69,0)</f>
        <v>0</v>
      </c>
      <c r="D69" s="71">
        <f>IFERROR(VLOOKUP("Rn-218",$A$4:$L$32,4)/$B69,0)</f>
        <v>1313439933241.0366</v>
      </c>
      <c r="E69" s="72">
        <f>IFERROR(IF(AND(C69&lt;&gt;0,D69&lt;&gt;0),(1/((1/C69)+(1/D69))),IF(AND(C69&lt;&gt;0,D69=0),(1/(1/C69)),IF(AND(C69=0,D69&lt;&gt;0),(1/(1/D69)),0))),0)</f>
        <v>1313439933241.0366</v>
      </c>
      <c r="F69" s="70">
        <f>IFERROR(VLOOKUP("Rn-218",$A$4:$L$32,6)/$B69,0)</f>
        <v>0</v>
      </c>
      <c r="G69" s="71">
        <f>IFERROR(VLOOKUP("Rn-218",$A$4:$L$32,7)/$B69,0)</f>
        <v>48597277529.918404</v>
      </c>
      <c r="H69" s="72">
        <f>IFERROR(IF(AND(F69&lt;&gt;0,G69&lt;&gt;0),(1/((1/F69)+(1/G69))),IF(AND(F69&lt;&gt;0,G69=0),(1/(1/F69)),IF(AND(F69=0,G69&lt;&gt;0),(1/(1/G69)),0))),0)</f>
        <v>48597277529.918404</v>
      </c>
      <c r="I69" s="70">
        <f>IFERROR(VLOOKUP("Rn-218",$A$4:$L$32,9)/$B69,0)</f>
        <v>0</v>
      </c>
      <c r="J69" s="71">
        <f>IFERROR(VLOOKUP("Rn-218",$A$4:$L$32,10)/$B69,0)</f>
        <v>8.8978725056324531E-10</v>
      </c>
      <c r="K69" s="72">
        <f>IFERROR(VLOOKUP("Rn-218",$A$4:$L$32,11)/$B69,0)</f>
        <v>8.8978725056324531E-10</v>
      </c>
    </row>
    <row r="70" spans="1:11">
      <c r="A70" s="31" t="s">
        <v>193</v>
      </c>
      <c r="B70" s="32">
        <v>0.99980000000000002</v>
      </c>
      <c r="C70" s="70">
        <f>IFERROR(VLOOKUP("Pb-214",$A$4:$L$32,3)/$B70,0)</f>
        <v>3.464652166561021</v>
      </c>
      <c r="D70" s="71">
        <f>IFERROR(VLOOKUP("Pb-214",$A$4:$L$32,4)/$B70,0)</f>
        <v>804.79082717796246</v>
      </c>
      <c r="E70" s="72">
        <f t="shared" ref="E70:E75" si="56">IFERROR(IF(AND(C70&lt;&gt;0,D70&lt;&gt;0),(1/((1/C70)+(1/D70))),IF(AND(C70&lt;&gt;0,D70=0),(1/(1/C70)),IF(AND(C70=0,D70&lt;&gt;0),(1/(1/D70)),0))),0)</f>
        <v>3.449800656188347</v>
      </c>
      <c r="F70" s="70">
        <f>IFERROR(VLOOKUP("Pb-214",$A$4:$L$32,6)/$B70,0)</f>
        <v>0.12819213016275791</v>
      </c>
      <c r="G70" s="71">
        <f>IFERROR(VLOOKUP("Pb-214",$A$4:$L$32,7)/$B70,0)</f>
        <v>29.777260605584644</v>
      </c>
      <c r="H70" s="72">
        <f t="shared" ref="H70:H75" si="57">IFERROR(IF(AND(F70&lt;&gt;0,G70&lt;&gt;0),(1/((1/F70)+(1/G70))),IF(AND(F70&lt;&gt;0,G70=0),(1/(1/F70)),IF(AND(F70=0,G70&lt;&gt;0),(1/(1/G70)),0))),0)</f>
        <v>0.12764262427896897</v>
      </c>
      <c r="I70" s="70">
        <f>IFERROR(VLOOKUP("Pb-214",$A$4:$L$32,9)/$B70,0)</f>
        <v>1.0585487955831365E-16</v>
      </c>
      <c r="J70" s="71">
        <f>IFERROR(VLOOKUP("Pb-214",$A$4:$L$32,10)/$B70,0)</f>
        <v>2.4588625924061691E-14</v>
      </c>
      <c r="K70" s="72">
        <f>IFERROR(VLOOKUP("Pb-214",$A$4:$L$32,11)/$B70,0)</f>
        <v>1.05401124097107E-16</v>
      </c>
    </row>
    <row r="71" spans="1:11">
      <c r="A71" s="31" t="s">
        <v>195</v>
      </c>
      <c r="B71" s="32">
        <v>0.99999979999999999</v>
      </c>
      <c r="C71" s="70">
        <f>IFERROR(VLOOKUP("Bi-214",$A$4:$L$32,3)/$B71,0)</f>
        <v>4.4103970679687921</v>
      </c>
      <c r="D71" s="71">
        <f>IFERROR(VLOOKUP("Bi-214",$A$4:$L$32,4)/$B71,0)</f>
        <v>125.61734644610007</v>
      </c>
      <c r="E71" s="72">
        <f t="shared" si="56"/>
        <v>4.2608012834734392</v>
      </c>
      <c r="F71" s="70">
        <f>IFERROR(VLOOKUP("Bi-214",$A$4:$L$32,6)/$B71,0)</f>
        <v>0.16318469151484544</v>
      </c>
      <c r="G71" s="71">
        <f>IFERROR(VLOOKUP("Bi-214",$A$4:$L$32,7)/$B71,0)</f>
        <v>4.6478418185057073</v>
      </c>
      <c r="H71" s="72">
        <f t="shared" si="57"/>
        <v>0.15764964748851734</v>
      </c>
      <c r="I71" s="70">
        <f>IFERROR(VLOOKUP("Bi-214",$A$4:$L$32,9)/$B71,0)</f>
        <v>1.0005693963132692E-16</v>
      </c>
      <c r="J71" s="71">
        <f>IFERROR(VLOOKUP("Bi-214",$A$4:$L$32,10)/$B71,0)</f>
        <v>2.8498312184380067E-15</v>
      </c>
      <c r="K71" s="72">
        <f>IFERROR(VLOOKUP("Bi-214",$A$4:$L$32,11)/$B71,0)</f>
        <v>9.6663119041552632E-17</v>
      </c>
    </row>
    <row r="72" spans="1:11">
      <c r="A72" s="31" t="s">
        <v>197</v>
      </c>
      <c r="B72" s="32">
        <v>0.99979000004200003</v>
      </c>
      <c r="C72" s="70">
        <f>IFERROR(VLOOKUP("Po-214",$A$4:$L$32,3)/$B72,0)</f>
        <v>0</v>
      </c>
      <c r="D72" s="71">
        <f>IFERROR(VLOOKUP("Po-214",$A$4:$L$32,4)/$B72,0)</f>
        <v>2350859.8768014573</v>
      </c>
      <c r="E72" s="72">
        <f t="shared" si="56"/>
        <v>2350859.8768014573</v>
      </c>
      <c r="F72" s="70">
        <f>IFERROR(VLOOKUP("Po-214",$A$4:$L$32,6)/$B72,0)</f>
        <v>0</v>
      </c>
      <c r="G72" s="71">
        <f>IFERROR(VLOOKUP("Po-214",$A$4:$L$32,7)/$B72,0)</f>
        <v>86981.81544165402</v>
      </c>
      <c r="H72" s="72">
        <f t="shared" si="57"/>
        <v>86981.81544165402</v>
      </c>
      <c r="I72" s="70">
        <f>IFERROR(VLOOKUP("Po-214",$A$4:$L$32,9)/$B72,0)</f>
        <v>0</v>
      </c>
      <c r="J72" s="71">
        <f>IFERROR(VLOOKUP("Po-214",$A$4:$L$32,10)/$B72,0)</f>
        <v>7.3388752420370351E-18</v>
      </c>
      <c r="K72" s="72">
        <f>IFERROR(VLOOKUP("Po-214",$A$4:$L$32,11)/$B72,0)</f>
        <v>7.3388752420370351E-18</v>
      </c>
    </row>
    <row r="73" spans="1:11">
      <c r="A73" s="31" t="s">
        <v>198</v>
      </c>
      <c r="B73" s="32">
        <v>2.0999995799999999E-4</v>
      </c>
      <c r="C73" s="70">
        <f>IFERROR(VLOOKUP("Tl-210",$A$4:$L$32,3)/$B73,0)</f>
        <v>0</v>
      </c>
      <c r="D73" s="71">
        <f>IFERROR(VLOOKUP("Tl-210",$A$4:$L$32,4)/$B73,0)</f>
        <v>322200.33666369825</v>
      </c>
      <c r="E73" s="72">
        <f t="shared" si="56"/>
        <v>322200.33666369825</v>
      </c>
      <c r="F73" s="70">
        <f>IFERROR(VLOOKUP("Tl-210",$A$4:$L$32,6)/$B73,0)</f>
        <v>0</v>
      </c>
      <c r="G73" s="71">
        <f>IFERROR(VLOOKUP("Tl-210",$A$4:$L$32,7)/$B73,0)</f>
        <v>11921.412456556845</v>
      </c>
      <c r="H73" s="72">
        <f t="shared" si="57"/>
        <v>11921.412456556845</v>
      </c>
      <c r="I73" s="70">
        <f>IFERROR(VLOOKUP("Tl-210",$A$4:$L$32,9)/$B73,0)</f>
        <v>0</v>
      </c>
      <c r="J73" s="71">
        <f>IFERROR(VLOOKUP("Tl-210",$A$4:$L$32,10)/$B73,0)</f>
        <v>4.6858816085564529E-13</v>
      </c>
      <c r="K73" s="72">
        <f>IFERROR(VLOOKUP("Tl-210",$A$4:$L$32,11)/$B73,0)</f>
        <v>4.6858816085564529E-13</v>
      </c>
    </row>
    <row r="74" spans="1:11">
      <c r="A74" s="31" t="s">
        <v>199</v>
      </c>
      <c r="B74" s="32">
        <v>1</v>
      </c>
      <c r="C74" s="70">
        <f>IFERROR(VLOOKUP("Pb-210",$A$4:$L$32,3)/$B74,0)</f>
        <v>7.2350186187777887E-3</v>
      </c>
      <c r="D74" s="71">
        <f>IFERROR(VLOOKUP("Pb-210",$A$4:$L$32,4)/$B74,0)</f>
        <v>189626.14747428973</v>
      </c>
      <c r="E74" s="72">
        <f t="shared" si="56"/>
        <v>7.2350183427320382E-3</v>
      </c>
      <c r="F74" s="70">
        <f>IFERROR(VLOOKUP("Pb-210",$A$4:$L$32,6)/$B74,0)</f>
        <v>2.6769568889477844E-4</v>
      </c>
      <c r="G74" s="71">
        <f>IFERROR(VLOOKUP("Pb-210",$A$4:$L$32,7)/$B74,0)</f>
        <v>7016.1674565487274</v>
      </c>
      <c r="H74" s="72">
        <f t="shared" si="57"/>
        <v>2.6769567868108565E-4</v>
      </c>
      <c r="I74" s="70">
        <f>IFERROR(VLOOKUP("Pb-210",$A$4:$L$32,9)/$B74,0)</f>
        <v>9.4443039042077741E-14</v>
      </c>
      <c r="J74" s="71">
        <f>IFERROR(VLOOKUP("Pb-210",$A$4:$L$32,10)/$B74,0)</f>
        <v>2.4753038786703886E-6</v>
      </c>
      <c r="K74" s="72">
        <f>IFERROR(VLOOKUP("Pb-210",$A$4:$L$32,11)/$B74,0)</f>
        <v>9.4443035438686952E-14</v>
      </c>
    </row>
    <row r="75" spans="1:11">
      <c r="A75" s="31" t="s">
        <v>200</v>
      </c>
      <c r="B75" s="32">
        <v>1</v>
      </c>
      <c r="C75" s="70">
        <f>IFERROR(VLOOKUP("Bi-210",$A$4:$L$32,3)/$B75,0)</f>
        <v>0.29881617993993198</v>
      </c>
      <c r="D75" s="71">
        <f>IFERROR(VLOOKUP("Bi-210",$A$4:$L$32,4)/$B75,0)</f>
        <v>34617.796690073825</v>
      </c>
      <c r="E75" s="72">
        <f t="shared" si="56"/>
        <v>0.29881360062099233</v>
      </c>
      <c r="F75" s="70">
        <f>IFERROR(VLOOKUP("Bi-210",$A$4:$L$32,6)/$B75,0)</f>
        <v>1.1056198657777494E-2</v>
      </c>
      <c r="G75" s="71">
        <f>IFERROR(VLOOKUP("Bi-210",$A$4:$L$32,7)/$B75,0)</f>
        <v>1280.8584775327329</v>
      </c>
      <c r="H75" s="72">
        <f t="shared" si="57"/>
        <v>1.1056103222976727E-2</v>
      </c>
      <c r="I75" s="70">
        <f>IFERROR(VLOOKUP("Bi-210",$A$4:$L$32,9)/$B75,0)</f>
        <v>2.4131608764461124E-15</v>
      </c>
      <c r="J75" s="71">
        <f>IFERROR(VLOOKUP("Bi-210",$A$4:$L$32,10)/$B75,0)</f>
        <v>2.7956422111428088E-10</v>
      </c>
      <c r="K75" s="72">
        <f>IFERROR(VLOOKUP("Bi-210",$A$4:$L$32,11)/$B75,0)</f>
        <v>2.4131400465447518E-15</v>
      </c>
    </row>
    <row r="76" spans="1:11">
      <c r="A76" s="31" t="s">
        <v>202</v>
      </c>
      <c r="B76" s="32">
        <v>1</v>
      </c>
      <c r="C76" s="70">
        <f>IFERROR(VLOOKUP("Po-210",$A$4:$L$32,3)/$B76,0)</f>
        <v>9.3220432203483042E-3</v>
      </c>
      <c r="D76" s="71">
        <f>IFERROR(VLOOKUP("Po-210",$A$4:$L$32,4)/$B76,0)</f>
        <v>20070542.80008775</v>
      </c>
      <c r="E76" s="72">
        <f>IFERROR(IF(AND(C76&lt;&gt;0,D76&lt;&gt;0),(1/((1/C76)+(1/D76))),IF(AND(C76&lt;&gt;0,D76=0),(1/(1/C76)),IF(AND(C76=0,D76&lt;&gt;0),(1/(1/D76)),0))),0)</f>
        <v>9.3220432160185523E-3</v>
      </c>
      <c r="F76" s="70">
        <f>IFERROR(VLOOKUP("Po-210",$A$4:$L$32,6)/$B76,0)</f>
        <v>3.4491559915288762E-4</v>
      </c>
      <c r="G76" s="71">
        <f>IFERROR(VLOOKUP("Po-210",$A$4:$L$32,7)/$B76,0)</f>
        <v>742610.08360324753</v>
      </c>
      <c r="H76" s="72">
        <f>IFERROR(IF(AND(F76&lt;&gt;0,G76&lt;&gt;0),(1/((1/F76)+(1/G76))),IF(AND(F76&lt;&gt;0,G76=0),(1/(1/F76)),IF(AND(F76=0,G76&lt;&gt;0),(1/(1/G76)),0))),0)</f>
        <v>3.4491559899268683E-4</v>
      </c>
      <c r="I76" s="70">
        <f>IFERROR(VLOOKUP("Po-210",$A$4:$L$32,9)/$B76,0)</f>
        <v>2.0780516903107848E-15</v>
      </c>
      <c r="J76" s="71">
        <f>IFERROR(VLOOKUP("Po-210",$A$4:$L$32,10)/$B76,0)</f>
        <v>4.4740862496901146E-6</v>
      </c>
      <c r="K76" s="72">
        <f>IFERROR(VLOOKUP("Po-210",$A$4:$L$32,11)/$B76,0)</f>
        <v>2.0780516893456052E-15</v>
      </c>
    </row>
    <row r="77" spans="1:11">
      <c r="A77" s="31" t="s">
        <v>201</v>
      </c>
      <c r="B77" s="34">
        <v>1.9000000000000001E-8</v>
      </c>
      <c r="C77" s="70">
        <f>IFERROR(VLOOKUP("Hg-206",$A$4:$L$32,3)/$B77,0)</f>
        <v>0</v>
      </c>
      <c r="D77" s="71">
        <f>IFERROR(VLOOKUP("Hg-206",$A$4:$L$32,4)/$B77,0)</f>
        <v>84545546630.434021</v>
      </c>
      <c r="E77" s="72">
        <f t="shared" ref="E77:E78" si="58">IFERROR(IF(AND(C77&lt;&gt;0,D77&lt;&gt;0),(1/((1/C77)+(1/D77))),IF(AND(C77&lt;&gt;0,D77=0),(1/(1/C77)),IF(AND(C77=0,D77&lt;&gt;0),(1/(1/D77)),0))),0)</f>
        <v>84545546630.434021</v>
      </c>
      <c r="F77" s="70">
        <f>IFERROR(VLOOKUP("Hg-206",$A$4:$L$32,6)/$B77,0)</f>
        <v>0</v>
      </c>
      <c r="G77" s="71">
        <f>IFERROR(VLOOKUP("Hg-206",$A$4:$L$32,7)/$B77,0)</f>
        <v>3128185225.3260617</v>
      </c>
      <c r="H77" s="72">
        <f t="shared" ref="H77:H78" si="59">IFERROR(IF(AND(F77&lt;&gt;0,G77&lt;&gt;0),(1/((1/F77)+(1/G77))),IF(AND(F77&lt;&gt;0,G77=0),(1/(1/F77)),IF(AND(F77=0,G77&lt;&gt;0),(1/(1/G77)),0))),0)</f>
        <v>3128185225.3260617</v>
      </c>
      <c r="I77" s="70">
        <f>IFERROR(VLOOKUP("Hg-206",$A$4:$L$32,9)/$B77,0)</f>
        <v>0</v>
      </c>
      <c r="J77" s="71">
        <f>IFERROR(VLOOKUP("Hg-206",$A$4:$L$32,10)/$B77,0)</f>
        <v>7.5616790537660366E-7</v>
      </c>
      <c r="K77" s="72">
        <f>IFERROR(VLOOKUP("Hg-206",$A$4:$L$32,11)/$B77,0)</f>
        <v>7.5616790537660366E-7</v>
      </c>
    </row>
    <row r="78" spans="1:11">
      <c r="A78" s="31" t="s">
        <v>203</v>
      </c>
      <c r="B78" s="32">
        <v>1.339E-6</v>
      </c>
      <c r="C78" s="70">
        <f>IFERROR(VLOOKUP("Tl-206",$A$4:$L$32,3)/$B78,0)</f>
        <v>0</v>
      </c>
      <c r="D78" s="71">
        <f>IFERROR(VLOOKUP("Tl-206",$A$4:$L$32,4)/$B78,0)</f>
        <v>16801499570.225252</v>
      </c>
      <c r="E78" s="72">
        <f t="shared" si="58"/>
        <v>16801499570.225254</v>
      </c>
      <c r="F78" s="70">
        <f>IFERROR(VLOOKUP("Tl-206",$A$4:$L$32,6)/$B78,0)</f>
        <v>0</v>
      </c>
      <c r="G78" s="71">
        <f>IFERROR(VLOOKUP("Tl-206",$A$4:$L$32,7)/$B78,0)</f>
        <v>621655484.09833491</v>
      </c>
      <c r="H78" s="72">
        <f t="shared" si="59"/>
        <v>621655484.09833491</v>
      </c>
      <c r="I78" s="70">
        <f>IFERROR(VLOOKUP("Tl-206",$A$4:$L$32,9)/$B78,0)</f>
        <v>0</v>
      </c>
      <c r="J78" s="71">
        <f>IFERROR(VLOOKUP("Tl-206",$A$4:$L$32,10)/$B78,0)</f>
        <v>7.7440336375275894E-8</v>
      </c>
      <c r="K78" s="72">
        <f>IFERROR(VLOOKUP("Tl-206",$A$4:$L$32,11)/$B78,0)</f>
        <v>7.7440336375275894E-8</v>
      </c>
    </row>
  </sheetData>
  <sheetProtection algorithmName="SHA-512" hashValue="CGyIoYM3apdoSzTVBZnoJE8g/Amja49HZTdL/uHY543XDhz81uRzX5jHjJfTcql/alnutrOdx0dA2wIvI38R1Q==" saltValue="gg3xNqYx+oprBRulfV2E8w==" spinCount="100000" sheet="1" formatCells="0" formatColumns="0" formatRows="0" insertColumns="0" insertRows="0" autoFilter="0"/>
  <autoFilter ref="A2:K77" xr:uid="{00000000-0009-0000-0000-000005000000}"/>
  <mergeCells count="3">
    <mergeCell ref="C1:E1"/>
    <mergeCell ref="F1:H1"/>
    <mergeCell ref="I1:K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499984740745262"/>
  </sheetPr>
  <dimension ref="A1:R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5.5703125" style="22" bestFit="1" customWidth="1"/>
    <col min="4" max="4" width="15.85546875" style="22" bestFit="1" customWidth="1"/>
    <col min="5" max="6" width="16.5703125" style="22" bestFit="1" customWidth="1"/>
    <col min="7" max="7" width="17.5703125" style="22" bestFit="1" customWidth="1"/>
    <col min="8" max="8" width="13.28515625" style="22" bestFit="1" customWidth="1"/>
    <col min="9" max="9" width="13.5703125" style="22" bestFit="1" customWidth="1"/>
    <col min="10" max="11" width="14.28515625" style="22" bestFit="1" customWidth="1"/>
    <col min="12" max="12" width="15.28515625" style="22" bestFit="1" customWidth="1"/>
    <col min="13" max="13" width="13.28515625" style="22" bestFit="1" customWidth="1"/>
    <col min="14" max="14" width="13.5703125" style="22" bestFit="1" customWidth="1"/>
    <col min="15" max="16" width="14.28515625" style="22" bestFit="1" customWidth="1"/>
    <col min="17" max="17" width="15.28515625" style="22" bestFit="1" customWidth="1"/>
    <col min="18" max="18" width="11.28515625" bestFit="1" customWidth="1"/>
  </cols>
  <sheetData>
    <row r="1" spans="1:18" ht="13.5" thickBot="1">
      <c r="C1" s="148" t="s">
        <v>61</v>
      </c>
      <c r="D1" s="149"/>
      <c r="E1" s="149"/>
      <c r="F1" s="149"/>
      <c r="G1" s="150"/>
      <c r="H1" s="148" t="s">
        <v>138</v>
      </c>
      <c r="I1" s="149"/>
      <c r="J1" s="149"/>
      <c r="K1" s="149"/>
      <c r="L1" s="150"/>
      <c r="M1" s="148" t="s">
        <v>139</v>
      </c>
      <c r="N1" s="149"/>
      <c r="O1" s="149"/>
      <c r="P1" s="149"/>
      <c r="Q1" s="150"/>
      <c r="R1" s="65" t="s">
        <v>252</v>
      </c>
    </row>
    <row r="2" spans="1:18">
      <c r="A2" s="11" t="s">
        <v>0</v>
      </c>
      <c r="B2" s="11" t="s">
        <v>43</v>
      </c>
      <c r="C2" s="23" t="s">
        <v>146</v>
      </c>
      <c r="D2" s="24" t="s">
        <v>147</v>
      </c>
      <c r="E2" s="24" t="s">
        <v>148</v>
      </c>
      <c r="F2" s="24" t="s">
        <v>149</v>
      </c>
      <c r="G2" s="25" t="s">
        <v>150</v>
      </c>
      <c r="H2" s="23" t="s">
        <v>146</v>
      </c>
      <c r="I2" s="24" t="s">
        <v>147</v>
      </c>
      <c r="J2" s="24" t="s">
        <v>148</v>
      </c>
      <c r="K2" s="24" t="s">
        <v>149</v>
      </c>
      <c r="L2" s="25" t="s">
        <v>150</v>
      </c>
      <c r="M2" s="23" t="s">
        <v>146</v>
      </c>
      <c r="N2" s="24" t="s">
        <v>147</v>
      </c>
      <c r="O2" s="24" t="s">
        <v>148</v>
      </c>
      <c r="P2" s="24" t="s">
        <v>149</v>
      </c>
      <c r="Q2" s="25" t="s">
        <v>150</v>
      </c>
      <c r="R2" s="66" t="s">
        <v>137</v>
      </c>
    </row>
    <row r="3" spans="1:18" ht="13.5" thickBot="1">
      <c r="B3" s="26" t="s">
        <v>44</v>
      </c>
      <c r="C3" s="27" t="s">
        <v>151</v>
      </c>
      <c r="D3" s="28" t="s">
        <v>140</v>
      </c>
      <c r="E3" s="28" t="s">
        <v>151</v>
      </c>
      <c r="F3" s="28" t="s">
        <v>151</v>
      </c>
      <c r="G3" s="29" t="s">
        <v>151</v>
      </c>
      <c r="H3" s="27" t="s">
        <v>152</v>
      </c>
      <c r="I3" s="28" t="s">
        <v>153</v>
      </c>
      <c r="J3" s="28" t="s">
        <v>152</v>
      </c>
      <c r="K3" s="28" t="s">
        <v>152</v>
      </c>
      <c r="L3" s="29" t="s">
        <v>152</v>
      </c>
      <c r="M3" s="27" t="s">
        <v>239</v>
      </c>
      <c r="N3" s="28" t="s">
        <v>142</v>
      </c>
      <c r="O3" s="28" t="s">
        <v>239</v>
      </c>
      <c r="P3" s="28" t="s">
        <v>239</v>
      </c>
      <c r="Q3" s="29" t="s">
        <v>239</v>
      </c>
      <c r="R3" s="79" t="s">
        <v>253</v>
      </c>
    </row>
    <row r="4" spans="1:18">
      <c r="A4" s="87" t="s">
        <v>23</v>
      </c>
      <c r="B4" s="12" t="s">
        <v>59</v>
      </c>
      <c r="C4" s="2">
        <f>IFERROR((DL)/(Doses!I2*GSFb*Fin*Fi*Fam*Foff*Isospec!H3*ETres*(1/24)*EFres*(1/365)),".")</f>
        <v>10.771266738473651</v>
      </c>
      <c r="D4" s="3">
        <f>IFERROR((DL)/(Doses!L2*GSFb*Fin*Fi*Fam*Foff*Isospec!G3*ETres*(1/24)*EFres*(1/365)),".")</f>
        <v>67.094765811392904</v>
      </c>
      <c r="E4" s="3">
        <f>IFERROR((DL)/(Doses!M2*GSFb*Fin*Fi*Fam*Foff*Isospec!I3*ETres*(1/24)*EFres*(1/365)),".")</f>
        <v>10.730460922617739</v>
      </c>
      <c r="F4" s="3">
        <f>IFERROR((DL)/(Doses!N2*GSFb*Fin*Fi*Fam*Foff*Isospec!J3*ETres*(1/24)*EFres*(1/365)),".")</f>
        <v>3.9418412580738114</v>
      </c>
      <c r="G4" s="5">
        <f>IFERROR((DL)/(Doses!O2*GSFb*Fin*Fi*Fam*Foff*Isospec!K3*ETres*(1/24)*EFres*(1/365)),".")</f>
        <v>29.235711911076834</v>
      </c>
      <c r="H4" s="2">
        <f t="shared" ref="H4:H5" si="0">IFERROR(C4/_1_bq,".")</f>
        <v>0.3985368693235255</v>
      </c>
      <c r="I4" s="3">
        <f t="shared" ref="I4:I5" si="1">IFERROR(D4/_1_bq,".")</f>
        <v>2.4825063350215402</v>
      </c>
      <c r="J4" s="3">
        <f t="shared" ref="J4:J5" si="2">IFERROR(E4/_1_bq,".")</f>
        <v>0.39702705413685674</v>
      </c>
      <c r="K4" s="3">
        <f t="shared" ref="K4:K5" si="3">IFERROR(F4/_1_bq,".")</f>
        <v>0.14584812654873117</v>
      </c>
      <c r="L4" s="5">
        <f t="shared" ref="L4:L5" si="4">IFERROR(G4/_1_bq,".")</f>
        <v>1.081721340709844</v>
      </c>
      <c r="M4" s="2">
        <f>IFERROR(C4*Isospec!C3*Isospec!F3*SSLgram,".")</f>
        <v>1.8591501493804106E-10</v>
      </c>
      <c r="N4" s="3">
        <f>IFERROR(D4*Isospec!C3*Isospec!F3*SSLcm_m,".")</f>
        <v>1.158074040032278E-12</v>
      </c>
      <c r="O4" s="3">
        <f>IFERROR(E4*Isospec!C3*Isospec!F3*SSLgram,".")</f>
        <v>1.8521069537669244E-10</v>
      </c>
      <c r="P4" s="3">
        <f>IFERROR(F4*Isospec!C3*Isospec!F3*SSLgram,".")</f>
        <v>6.8037260070864033E-11</v>
      </c>
      <c r="Q4" s="5">
        <f>IFERROR(G4*Isospec!C3*Isospec!F3*SSLgram,".")</f>
        <v>5.0461639736927867E-10</v>
      </c>
      <c r="R4" s="67">
        <f>IF(D4&lt;&gt;".",D4*2.22*100,".")</f>
        <v>14895.038010129227</v>
      </c>
    </row>
    <row r="5" spans="1:18">
      <c r="A5" s="88" t="s">
        <v>14</v>
      </c>
      <c r="B5" s="12" t="s">
        <v>44</v>
      </c>
      <c r="C5" s="2">
        <f>IFERROR((DL)/(Doses!I3*GSFb*Fin*Fi*Fam*Foff*Isospec!H4*ETres*(1/24)*EFres*(1/365)),".")</f>
        <v>23.255230064762575</v>
      </c>
      <c r="D5" s="3">
        <f>IFERROR((DL)/(Doses!L3*GSFb*Fin*Fi*Fam*Foff*Isospec!G4*ETres*(1/24)*EFres*(1/365)),".")</f>
        <v>16.652378989977365</v>
      </c>
      <c r="E5" s="3">
        <f>IFERROR((DL)/(Doses!M3*GSFb*Fin*Fi*Fam*Foff*Isospec!I4*ETres*(1/24)*EFres*(1/365)),".")</f>
        <v>15.123759766431798</v>
      </c>
      <c r="F5" s="3">
        <f>IFERROR((DL)/(Doses!N3*GSFb*Fin*Fi*Fam*Foff*Isospec!J4*ETres*(1/24)*EFres*(1/365)),".")</f>
        <v>4.1904426649802513</v>
      </c>
      <c r="G5" s="5">
        <f>IFERROR((DL)/(Doses!O3*GSFb*Fin*Fi*Fam*Foff*Isospec!K4*ETres*(1/24)*EFres*(1/365)),".")</f>
        <v>22.654631338327349</v>
      </c>
      <c r="H5" s="2">
        <f t="shared" si="0"/>
        <v>0.86044351239621619</v>
      </c>
      <c r="I5" s="3">
        <f t="shared" si="1"/>
        <v>0.61613802262916306</v>
      </c>
      <c r="J5" s="3">
        <f t="shared" si="2"/>
        <v>0.55957911135797711</v>
      </c>
      <c r="K5" s="3">
        <f t="shared" si="3"/>
        <v>0.15504637860426945</v>
      </c>
      <c r="L5" s="5">
        <f t="shared" si="4"/>
        <v>0.83822135951811272</v>
      </c>
      <c r="M5" s="2">
        <f>IFERROR(C5*Isospec!C4*Isospec!F4*SSLgram,".")</f>
        <v>6.7823543608567104E-6</v>
      </c>
      <c r="N5" s="3">
        <f>IFERROR(D5*Isospec!C4*Isospec!F4*SSLcm_m,".")</f>
        <v>4.8566423530011521E-9</v>
      </c>
      <c r="O5" s="3">
        <f>IFERROR(E5*Isospec!C4*Isospec!F4*SSLgram,".")</f>
        <v>4.4108227576657701E-6</v>
      </c>
      <c r="P5" s="3">
        <f>IFERROR(F5*Isospec!C4*Isospec!F4*SSLgram,".")</f>
        <v>1.2221365690040525E-6</v>
      </c>
      <c r="Q5" s="5">
        <f>IFERROR(G5*Isospec!C4*Isospec!F4*SSLgram,".")</f>
        <v>6.6071906071540435E-6</v>
      </c>
      <c r="R5" s="67">
        <f t="shared" ref="R5" si="5">IF(D5&lt;&gt;".",D5*2.22*100,".")</f>
        <v>3696.8281357749752</v>
      </c>
    </row>
    <row r="6" spans="1:18">
      <c r="A6" s="87" t="s">
        <v>15</v>
      </c>
      <c r="B6" s="12" t="s">
        <v>59</v>
      </c>
      <c r="C6" s="2">
        <f>IFERROR((DL)/(Doses!I4*GSFb*Fin*Fi*Fam*Foff*Isospec!H5*ETres*(1/24)*EFres*(1/365)),".")</f>
        <v>344224.89197302773</v>
      </c>
      <c r="D6" s="3">
        <f>IFERROR((DL)/(Doses!L4*GSFb*Fin*Fi*Fam*Foff*Isospec!G5*ETres*(1/24)*EFres*(1/365)),".")</f>
        <v>1527741.9662655541</v>
      </c>
      <c r="E6" s="3">
        <f>IFERROR((DL)/(Doses!M4*GSFb*Fin*Fi*Fam*Foff*Isospec!I5*ETres*(1/24)*EFres*(1/365)),".")</f>
        <v>488119.42024030013</v>
      </c>
      <c r="F6" s="3">
        <f>IFERROR((DL)/(Doses!N4*GSFb*Fin*Fi*Fam*Foff*Isospec!J5*ETres*(1/24)*EFres*(1/365)),".")</f>
        <v>160117.07657244377</v>
      </c>
      <c r="G6" s="5">
        <f>IFERROR((DL)/(Doses!O4*GSFb*Fin*Fi*Fam*Foff*Isospec!K5*ETres*(1/24)*EFres*(1/365)),".")</f>
        <v>237414.18709924887</v>
      </c>
      <c r="H6" s="2">
        <f t="shared" ref="H6:H8" si="6">IFERROR(C6/_1_bq,".")</f>
        <v>12736.321003002038</v>
      </c>
      <c r="I6" s="3">
        <f t="shared" ref="I6:I8" si="7">IFERROR(D6/_1_bq,".")</f>
        <v>56526.452751825556</v>
      </c>
      <c r="J6" s="3">
        <f t="shared" ref="J6:J8" si="8">IFERROR(E6/_1_bq,".")</f>
        <v>18060.418548891124</v>
      </c>
      <c r="K6" s="3">
        <f t="shared" ref="K6:K8" si="9">IFERROR(F6/_1_bq,".")</f>
        <v>5924.3318331804257</v>
      </c>
      <c r="L6" s="5">
        <f t="shared" ref="L6:L8" si="10">IFERROR(G6/_1_bq,".")</f>
        <v>8784.3249226722164</v>
      </c>
      <c r="M6" s="2">
        <f>IFERROR(C6*Isospec!C5*Isospec!F5*SSLgram,".")</f>
        <v>2.1421799635080041E-13</v>
      </c>
      <c r="N6" s="3">
        <f>IFERROR(D6*Isospec!C5*Isospec!F5*SSLcm_m,".")</f>
        <v>9.5074420992216583E-16</v>
      </c>
      <c r="O6" s="3">
        <f>IFERROR(E6*Isospec!C5*Isospec!F5*SSLgram,".")</f>
        <v>3.037664231208029E-13</v>
      </c>
      <c r="P6" s="3">
        <f>IFERROR(F6*Isospec!C5*Isospec!F5*SSLgram,".")</f>
        <v>9.9644041220540812E-14</v>
      </c>
      <c r="Q6" s="5">
        <f>IFERROR(G6*Isospec!C5*Isospec!F5*SSLgram,".")</f>
        <v>1.477475704157973E-13</v>
      </c>
      <c r="R6" s="67">
        <f t="shared" ref="R6:R8" si="11">IF(D6&lt;&gt;".",D6*2.22*100,".")</f>
        <v>339158716.51095307</v>
      </c>
    </row>
    <row r="7" spans="1:18">
      <c r="A7" s="87" t="s">
        <v>16</v>
      </c>
      <c r="B7" s="89" t="s">
        <v>59</v>
      </c>
      <c r="C7" s="2" t="str">
        <f>IFERROR((DL)/(Doses!I5*GSFb*Fin*Fi*Fam*Foff*Isospec!H6*ETres*(1/24)*EFres*(1/365)),".")</f>
        <v>.</v>
      </c>
      <c r="D7" s="3" t="str">
        <f>IFERROR((DL)/(Doses!L5*GSFb*Fin*Fi*Fam*Foff*Isospec!G6*ETres*(1/24)*EFres*(1/365)),".")</f>
        <v>.</v>
      </c>
      <c r="E7" s="3" t="str">
        <f>IFERROR((DL)/(Doses!M5*GSFb*Fin*Fi*Fam*Foff*Isospec!I6*ETres*(1/24)*EFres*(1/365)),".")</f>
        <v>.</v>
      </c>
      <c r="F7" s="3" t="str">
        <f>IFERROR((DL)/(Doses!N5*GSFb*Fin*Fi*Fam*Foff*Isospec!J6*ETres*(1/24)*EFres*(1/365)),".")</f>
        <v>.</v>
      </c>
      <c r="G7" s="5" t="str">
        <f>IFERROR((DL)/(Doses!O5*GSFb*Fin*Fi*Fam*Foff*Isospec!K6*ETres*(1/24)*EFres*(1/365)),".")</f>
        <v>.</v>
      </c>
      <c r="H7" s="2" t="str">
        <f t="shared" si="6"/>
        <v>.</v>
      </c>
      <c r="I7" s="3" t="str">
        <f t="shared" si="7"/>
        <v>.</v>
      </c>
      <c r="J7" s="3" t="str">
        <f t="shared" si="8"/>
        <v>.</v>
      </c>
      <c r="K7" s="3" t="str">
        <f t="shared" si="9"/>
        <v>.</v>
      </c>
      <c r="L7" s="5" t="str">
        <f t="shared" si="10"/>
        <v>.</v>
      </c>
      <c r="M7" s="2" t="str">
        <f>IFERROR(C7*Isospec!C6*Isospec!F6*SSLgram,".")</f>
        <v>.</v>
      </c>
      <c r="N7" s="3" t="str">
        <f>IFERROR(D7*Isospec!C6*Isospec!F6*SSLcm_m,".")</f>
        <v>.</v>
      </c>
      <c r="O7" s="3" t="str">
        <f>IFERROR(E7*Isospec!C6*Isospec!F6*SSLgram,".")</f>
        <v>.</v>
      </c>
      <c r="P7" s="3" t="str">
        <f>IFERROR(F7*Isospec!C6*Isospec!F6*SSLgram,".")</f>
        <v>.</v>
      </c>
      <c r="Q7" s="5" t="str">
        <f>IFERROR(G7*Isospec!C6*Isospec!F6*SSLgram,".")</f>
        <v>.</v>
      </c>
      <c r="R7" s="67" t="str">
        <f t="shared" si="11"/>
        <v>.</v>
      </c>
    </row>
    <row r="8" spans="1:18">
      <c r="A8" s="87" t="s">
        <v>18</v>
      </c>
      <c r="B8" s="12" t="s">
        <v>59</v>
      </c>
      <c r="C8" s="2">
        <f>IFERROR((DL)/(Doses!I6*GSFb*Fin*Fi*Fam*Foff*Isospec!H7*ETres*(1/24)*EFres*(1/365)),".")</f>
        <v>0.10879881466745379</v>
      </c>
      <c r="D8" s="3">
        <f>IFERROR((DL)/(Doses!L6*GSFb*Fin*Fi*Fam*Foff*Isospec!G7*ETres*(1/24)*EFres*(1/365)),".")</f>
        <v>0.98585709613979144</v>
      </c>
      <c r="E8" s="3">
        <f>IFERROR((DL)/(Doses!M6*GSFb*Fin*Fi*Fam*Foff*Isospec!I7*ETres*(1/24)*EFres*(1/365)),".")</f>
        <v>0.33854873816118197</v>
      </c>
      <c r="F8" s="3">
        <f>IFERROR((DL)/(Doses!N6*GSFb*Fin*Fi*Fam*Foff*Isospec!J7*ETres*(1/24)*EFres*(1/365)),".")</f>
        <v>7.1126749675399253E-2</v>
      </c>
      <c r="G8" s="5">
        <f>IFERROR((DL)/(Doses!O6*GSFb*Fin*Fi*Fam*Foff*Isospec!K7*ETres*(1/24)*EFres*(1/365)),".")</f>
        <v>5.9220669244935416E-2</v>
      </c>
      <c r="H8" s="2">
        <f t="shared" si="6"/>
        <v>4.0255561426957949E-3</v>
      </c>
      <c r="I8" s="3">
        <f t="shared" si="7"/>
        <v>3.6476712557172324E-2</v>
      </c>
      <c r="J8" s="3">
        <f t="shared" si="8"/>
        <v>1.2526303311963746E-2</v>
      </c>
      <c r="K8" s="3">
        <f t="shared" si="9"/>
        <v>2.6316897379897752E-3</v>
      </c>
      <c r="L8" s="5">
        <f t="shared" si="10"/>
        <v>2.1911647620626125E-3</v>
      </c>
      <c r="M8" s="2">
        <f>IFERROR(C8*Isospec!C7*Isospec!F7*SSLgram,".")</f>
        <v>2.0264135270552147E-16</v>
      </c>
      <c r="N8" s="3">
        <f>IFERROR(D8*Isospec!C7*Isospec!F7*SSLcm_m,".")</f>
        <v>1.8361911032461435E-18</v>
      </c>
      <c r="O8" s="3">
        <f>IFERROR(E8*Isospec!C7*Isospec!F7*SSLgram,".")</f>
        <v>6.3055810366518254E-16</v>
      </c>
      <c r="P8" s="3">
        <f>IFERROR(F8*Isospec!C7*Isospec!F7*SSLgram,".")</f>
        <v>1.3247589885812885E-16</v>
      </c>
      <c r="Q8" s="5">
        <f>IFERROR(G8*Isospec!C7*Isospec!F7*SSLgram,".")</f>
        <v>1.1030043443579764E-16</v>
      </c>
      <c r="R8" s="67">
        <f t="shared" si="11"/>
        <v>218.86027534303372</v>
      </c>
    </row>
    <row r="9" spans="1:18">
      <c r="A9" s="87" t="s">
        <v>19</v>
      </c>
      <c r="B9" s="90" t="s">
        <v>59</v>
      </c>
      <c r="C9" s="2">
        <f>IFERROR((DL)/(Doses!I7*GSFb*Fin*Fi*Fam*Foff*Isospec!H8*ETres*(1/24)*EFres*(1/365)),".")</f>
        <v>59019805.436417058</v>
      </c>
      <c r="D9" s="3">
        <f>IFERROR((DL)/(Doses!L7*GSFb*Fin*Fi*Fam*Foff*Isospec!G8*ETres*(1/24)*EFres*(1/365)),".")</f>
        <v>9178478.1607635487</v>
      </c>
      <c r="E9" s="3">
        <f>IFERROR((DL)/(Doses!M7*GSFb*Fin*Fi*Fam*Foff*Isospec!I8*ETres*(1/24)*EFres*(1/365)),".")</f>
        <v>46180855.410676435</v>
      </c>
      <c r="F9" s="3">
        <f>IFERROR((DL)/(Doses!N7*GSFb*Fin*Fi*Fam*Foff*Isospec!J8*ETres*(1/24)*EFres*(1/365)),".")</f>
        <v>26245287.769591905</v>
      </c>
      <c r="G9" s="5">
        <f>IFERROR((DL)/(Doses!O7*GSFb*Fin*Fi*Fam*Foff*Isospec!K8*ETres*(1/24)*EFres*(1/365)),".")</f>
        <v>42599982.888785854</v>
      </c>
      <c r="H9" s="2">
        <f t="shared" ref="H9:H11" si="12">IFERROR(C9/_1_bq,".")</f>
        <v>2183732.8011474335</v>
      </c>
      <c r="I9" s="3">
        <f t="shared" ref="I9:I11" si="13">IFERROR(D9/_1_bq,".")</f>
        <v>339603.69194825162</v>
      </c>
      <c r="J9" s="3">
        <f t="shared" ref="J9:J11" si="14">IFERROR(E9/_1_bq,".")</f>
        <v>1708691.6501950298</v>
      </c>
      <c r="K9" s="3">
        <f t="shared" ref="K9:K11" si="15">IFERROR(F9/_1_bq,".")</f>
        <v>971075.64747490152</v>
      </c>
      <c r="L9" s="5">
        <f t="shared" ref="L9:L11" si="16">IFERROR(G9/_1_bq,".")</f>
        <v>1576199.3668850781</v>
      </c>
      <c r="M9" s="2">
        <f>IFERROR(C9*Isospec!C8*Isospec!F8*SSLgram,".")</f>
        <v>4.7662842568716774E-4</v>
      </c>
      <c r="N9" s="3">
        <f>IFERROR(D9*Isospec!C8*Isospec!F8*SSLcm_m,".")</f>
        <v>7.4122975560835043E-8</v>
      </c>
      <c r="O9" s="3">
        <f>IFERROR(E9*Isospec!C8*Isospec!F8*SSLgram,".")</f>
        <v>3.7294444209902275E-4</v>
      </c>
      <c r="P9" s="3">
        <f>IFERROR(F9*Isospec!C8*Isospec!F8*SSLgram,".")</f>
        <v>2.1195004115700914E-4</v>
      </c>
      <c r="Q9" s="5">
        <f>IFERROR(G9*Isospec!C8*Isospec!F8*SSLgram,".")</f>
        <v>3.440262574307617E-4</v>
      </c>
      <c r="R9" s="67">
        <f t="shared" ref="R9:R11" si="17">IF(D9&lt;&gt;".",D9*2.22*100,".")</f>
        <v>2037622151.6895077</v>
      </c>
    </row>
    <row r="10" spans="1:18">
      <c r="A10" s="87" t="s">
        <v>20</v>
      </c>
      <c r="B10" s="12" t="s">
        <v>59</v>
      </c>
      <c r="C10" s="2">
        <f>IFERROR((DL)/(Doses!I8*GSFb*Fin*Fi*Fam*Foff*Isospec!H9*ETres*(1/24)*EFres*(1/365)),".")</f>
        <v>1.96071130707803</v>
      </c>
      <c r="D10" s="3">
        <f>IFERROR((DL)/(Doses!L8*GSFb*Fin*Fi*Fam*Foff*Isospec!G9*ETres*(1/24)*EFres*(1/365)),".")</f>
        <v>8.8409963238637417</v>
      </c>
      <c r="E10" s="3">
        <f>IFERROR((DL)/(Doses!M8*GSFb*Fin*Fi*Fam*Foff*Isospec!I9*ETres*(1/24)*EFres*(1/365)),".")</f>
        <v>4.1738892443491462</v>
      </c>
      <c r="F10" s="3">
        <f>IFERROR((DL)/(Doses!N8*GSFb*Fin*Fi*Fam*Foff*Isospec!J9*ETres*(1/24)*EFres*(1/365)),".")</f>
        <v>1.3571591134824172</v>
      </c>
      <c r="G10" s="5">
        <f>IFERROR((DL)/(Doses!O8*GSFb*Fin*Fi*Fam*Foff*Isospec!K9*ETres*(1/24)*EFres*(1/365)),".")</f>
        <v>1.1111128856365591</v>
      </c>
      <c r="H10" s="2">
        <f t="shared" si="12"/>
        <v>7.2546318361887185E-2</v>
      </c>
      <c r="I10" s="3">
        <f t="shared" si="13"/>
        <v>0.32711686398295875</v>
      </c>
      <c r="J10" s="3">
        <f t="shared" si="14"/>
        <v>0.15443390204091856</v>
      </c>
      <c r="K10" s="3">
        <f t="shared" si="15"/>
        <v>5.0214887198849492E-2</v>
      </c>
      <c r="L10" s="5">
        <f t="shared" si="16"/>
        <v>4.1111176768552728E-2</v>
      </c>
      <c r="M10" s="2">
        <f>IFERROR(C10*Isospec!C9*Isospec!F9*SSLgram,".")</f>
        <v>1.0142978940496531E-13</v>
      </c>
      <c r="N10" s="3">
        <f>IFERROR(D10*Isospec!C9*Isospec!F9*SSLcm_m,".")</f>
        <v>4.5735463044579899E-16</v>
      </c>
      <c r="O10" s="3">
        <f>IFERROR(E10*Isospec!C9*Isospec!F9*SSLgram,".")</f>
        <v>2.1591996002965646E-13</v>
      </c>
      <c r="P10" s="3">
        <f>IFERROR(F10*Isospec!C9*Isospec!F9*SSLgram,".")</f>
        <v>7.0207359223472228E-14</v>
      </c>
      <c r="Q10" s="5">
        <f>IFERROR(G10*Isospec!C9*Isospec!F9*SSLgram,".")</f>
        <v>5.7479112599810396E-14</v>
      </c>
      <c r="R10" s="67">
        <f t="shared" si="17"/>
        <v>1962.701183897751</v>
      </c>
    </row>
    <row r="11" spans="1:18">
      <c r="A11" s="87" t="s">
        <v>21</v>
      </c>
      <c r="B11" s="90" t="s">
        <v>59</v>
      </c>
      <c r="C11" s="2">
        <f>IFERROR((DL)/(Doses!I9*GSFb*Fin*Fi*Fam*Foff*Isospec!H10*ETres*(1/24)*EFres*(1/365)),".")</f>
        <v>3.361483763820889E-2</v>
      </c>
      <c r="D11" s="3">
        <f>IFERROR((DL)/(Doses!L9*GSFb*Fin*Fi*Fam*Foff*Isospec!G10*ETres*(1/24)*EFres*(1/365)),".")</f>
        <v>0.29156341550467074</v>
      </c>
      <c r="E11" s="3">
        <f>IFERROR((DL)/(Doses!M9*GSFb*Fin*Fi*Fam*Foff*Isospec!I10*ETres*(1/24)*EFres*(1/365)),".")</f>
        <v>0.10703716821626422</v>
      </c>
      <c r="F11" s="3">
        <f>IFERROR((DL)/(Doses!N9*GSFb*Fin*Fi*Fam*Foff*Isospec!J10*ETres*(1/24)*EFres*(1/365)),".")</f>
        <v>2.546965517674599E-2</v>
      </c>
      <c r="G11" s="5">
        <f>IFERROR((DL)/(Doses!O9*GSFb*Fin*Fi*Fam*Foff*Isospec!K10*ETres*(1/24)*EFres*(1/365)),".")</f>
        <v>1.9167202196906794E-2</v>
      </c>
      <c r="H11" s="2">
        <f t="shared" si="12"/>
        <v>1.2437489926137302E-3</v>
      </c>
      <c r="I11" s="3">
        <f t="shared" si="13"/>
        <v>1.0787846373672829E-2</v>
      </c>
      <c r="J11" s="3">
        <f t="shared" si="14"/>
        <v>3.9603752240017802E-3</v>
      </c>
      <c r="K11" s="3">
        <f t="shared" si="15"/>
        <v>9.4237724153960255E-4</v>
      </c>
      <c r="L11" s="5">
        <f t="shared" si="16"/>
        <v>7.091864812855521E-4</v>
      </c>
      <c r="M11" s="2">
        <f>IFERROR(C11*Isospec!C10*Isospec!F10*SSLgram,".")</f>
        <v>7.6260656998670977E-16</v>
      </c>
      <c r="N11" s="3">
        <f>IFERROR(D11*Isospec!C10*Isospec!F10*SSLcm_m,".")</f>
        <v>6.61458426855202E-18</v>
      </c>
      <c r="O11" s="3">
        <f>IFERROR(E11*Isospec!C10*Isospec!F10*SSLgram,".")</f>
        <v>2.4283100395437487E-15</v>
      </c>
      <c r="P11" s="3">
        <f>IFERROR(F11*Isospec!C10*Isospec!F10*SSLgram,".")</f>
        <v>5.7782002644584082E-16</v>
      </c>
      <c r="Q11" s="5">
        <f>IFERROR(G11*Isospec!C10*Isospec!F10*SSLgram,".")</f>
        <v>4.3483876022087677E-16</v>
      </c>
      <c r="R11" s="67">
        <f t="shared" si="17"/>
        <v>64.72707824203691</v>
      </c>
    </row>
    <row r="12" spans="1:18">
      <c r="A12" s="88" t="s">
        <v>17</v>
      </c>
      <c r="B12" s="12" t="s">
        <v>44</v>
      </c>
      <c r="C12" s="2">
        <f>IFERROR((DL)/(Doses!I10*GSFb*Fin*Fi*Fam*Foff*Isospec!H11*ETres*(1/24)*EFres*(1/365)),".")</f>
        <v>624.252155473058</v>
      </c>
      <c r="D12" s="3">
        <f>IFERROR((DL)/(Doses!L10*GSFb*Fin*Fi*Fam*Foff*Isospec!G11*ETres*(1/24)*EFres*(1/365)),".")</f>
        <v>145.95563530312251</v>
      </c>
      <c r="E12" s="3">
        <f>IFERROR((DL)/(Doses!M10*GSFb*Fin*Fi*Fam*Foff*Isospec!I11*ETres*(1/24)*EFres*(1/365)),".")</f>
        <v>1092.7198460001825</v>
      </c>
      <c r="F12" s="3">
        <f>IFERROR((DL)/(Doses!N10*GSFb*Fin*Fi*Fam*Foff*Isospec!J11*ETres*(1/24)*EFres*(1/365)),".")</f>
        <v>609.30972669227287</v>
      </c>
      <c r="G12" s="5">
        <f>IFERROR((DL)/(Doses!O10*GSFb*Fin*Fi*Fam*Foff*Isospec!K11*ETres*(1/24)*EFres*(1/365)),".")</f>
        <v>454.41014611279076</v>
      </c>
      <c r="H12" s="2">
        <f t="shared" ref="H12" si="18">IFERROR(C12/_1_bq,".")</f>
        <v>23.097329752503168</v>
      </c>
      <c r="I12" s="3">
        <f t="shared" ref="I12" si="19">IFERROR(D12/_1_bq,".")</f>
        <v>5.4003585062155386</v>
      </c>
      <c r="J12" s="3">
        <f t="shared" ref="J12" si="20">IFERROR(E12/_1_bq,".")</f>
        <v>40.430634302006794</v>
      </c>
      <c r="K12" s="3">
        <f t="shared" ref="K12" si="21">IFERROR(F12/_1_bq,".")</f>
        <v>22.544459887614121</v>
      </c>
      <c r="L12" s="5">
        <f t="shared" ref="L12" si="22">IFERROR(G12/_1_bq,".")</f>
        <v>16.813175406173276</v>
      </c>
      <c r="M12" s="2">
        <f>IFERROR(C12*Isospec!C11*Isospec!F11*SSLgram,".")</f>
        <v>7.2239080936788249E-6</v>
      </c>
      <c r="N12" s="3">
        <f>IFERROR(D12*Isospec!C11*Isospec!F11*SSLcm_m,".")</f>
        <v>1.6890131430707844E-9</v>
      </c>
      <c r="O12" s="3">
        <f>IFERROR(E12*Isospec!C11*Isospec!F11*SSLgram,".")</f>
        <v>1.2645062849101982E-5</v>
      </c>
      <c r="P12" s="3">
        <f>IFERROR(F12*Isospec!C11*Isospec!F11*SSLgram,".")</f>
        <v>7.0509928201593715E-6</v>
      </c>
      <c r="Q12" s="5">
        <f>IFERROR(G12*Isospec!C11*Isospec!F11*SSLgram,".")</f>
        <v>5.2584794518913614E-6</v>
      </c>
      <c r="R12" s="67">
        <f t="shared" ref="R12" si="23">IF(D12&lt;&gt;".",D12*2.22*100,".")</f>
        <v>32402.151037293195</v>
      </c>
    </row>
    <row r="13" spans="1:18">
      <c r="A13" s="87" t="s">
        <v>24</v>
      </c>
      <c r="B13" s="12" t="s">
        <v>59</v>
      </c>
      <c r="C13" s="2">
        <f>IFERROR((DL)/(Doses!I11*GSFb*Fin*Fi*Fam*Foff*Isospec!H12*ETres*(1/24)*EFres*(1/365)),".")</f>
        <v>21.30679881569187</v>
      </c>
      <c r="D13" s="3">
        <f>IFERROR((DL)/(Doses!L11*GSFb*Fin*Fi*Fam*Foff*Isospec!G12*ETres*(1/24)*EFres*(1/365)),".")</f>
        <v>83.132546063710791</v>
      </c>
      <c r="E13" s="3">
        <f>IFERROR((DL)/(Doses!M11*GSFb*Fin*Fi*Fam*Foff*Isospec!I12*ETres*(1/24)*EFres*(1/365)),".")</f>
        <v>29.19057563496294</v>
      </c>
      <c r="F13" s="3">
        <f>IFERROR((DL)/(Doses!N11*GSFb*Fin*Fi*Fam*Foff*Isospec!J12*ETres*(1/24)*EFres*(1/365)),".")</f>
        <v>8.2503968903239819</v>
      </c>
      <c r="G13" s="5">
        <f>IFERROR((DL)/(Doses!O11*GSFb*Fin*Fi*Fam*Foff*Isospec!K12*ETres*(1/24)*EFres*(1/365)),".")</f>
        <v>16.403692849343049</v>
      </c>
      <c r="H13" s="2">
        <f t="shared" ref="H13" si="24">IFERROR(C13/_1_bq,".")</f>
        <v>0.78835155618060004</v>
      </c>
      <c r="I13" s="3">
        <f t="shared" ref="I13" si="25">IFERROR(D13/_1_bq,".")</f>
        <v>3.0759042043573022</v>
      </c>
      <c r="J13" s="3">
        <f t="shared" ref="J13" si="26">IFERROR(E13/_1_bq,".")</f>
        <v>1.0800512984936299</v>
      </c>
      <c r="K13" s="3">
        <f t="shared" ref="K13" si="27">IFERROR(F13/_1_bq,".")</f>
        <v>0.30526468494198766</v>
      </c>
      <c r="L13" s="5">
        <f t="shared" ref="L13" si="28">IFERROR(G13/_1_bq,".")</f>
        <v>0.60693663542569343</v>
      </c>
      <c r="M13" s="2">
        <f>IFERROR(C13*Isospec!C12*Isospec!F12*SSLgram,".")</f>
        <v>1.2291623064123994E-13</v>
      </c>
      <c r="N13" s="3">
        <f>IFERROR(D13*Isospec!C12*Isospec!F12*SSLcm_m,".")</f>
        <v>4.7958115595642905E-16</v>
      </c>
      <c r="O13" s="3">
        <f>IFERROR(E13*Isospec!C12*Isospec!F12*SSLgram,".")</f>
        <v>1.6839674313980964E-13</v>
      </c>
      <c r="P13" s="3">
        <f>IFERROR(F13*Isospec!C12*Isospec!F12*SSLgram,".")</f>
        <v>4.7595497372696309E-14</v>
      </c>
      <c r="Q13" s="5">
        <f>IFERROR(G13*Isospec!C12*Isospec!F12*SSLgram,".")</f>
        <v>9.4630831739631105E-14</v>
      </c>
      <c r="R13" s="67">
        <f t="shared" ref="R13" si="29">IF(D13&lt;&gt;".",D13*2.22*100,".")</f>
        <v>18455.425226143798</v>
      </c>
    </row>
    <row r="14" spans="1:18">
      <c r="A14" s="87" t="s">
        <v>22</v>
      </c>
      <c r="B14" s="89" t="s">
        <v>59</v>
      </c>
      <c r="C14" s="2">
        <f>IFERROR((DL)/(Doses!I12*GSFb*Fin*Fi*Fam*Foff*Isospec!H13*ETres*(1/24)*EFres*(1/365)),".")</f>
        <v>1.5152905008948203</v>
      </c>
      <c r="D14" s="3">
        <f>IFERROR((DL)/(Doses!L12*GSFb*Fin*Fi*Fam*Foff*Isospec!G13*ETres*(1/24)*EFres*(1/365)),".")</f>
        <v>5.8908698578701708</v>
      </c>
      <c r="E14" s="3">
        <f>IFERROR((DL)/(Doses!M12*GSFb*Fin*Fi*Fam*Foff*Isospec!I13*ETres*(1/24)*EFres*(1/365)),".")</f>
        <v>2.9407859011980939</v>
      </c>
      <c r="F14" s="3">
        <f>IFERROR((DL)/(Doses!N12*GSFb*Fin*Fi*Fam*Foff*Isospec!J13*ETres*(1/24)*EFres*(1/365)),".")</f>
        <v>0.86220912320546317</v>
      </c>
      <c r="G14" s="5">
        <f>IFERROR((DL)/(Doses!O12*GSFb*Fin*Fi*Fam*Foff*Isospec!K13*ETres*(1/24)*EFres*(1/365)),".")</f>
        <v>1.1054136779779098</v>
      </c>
      <c r="H14" s="2">
        <f t="shared" ref="H14" si="30">IFERROR(C14/_1_bq,".")</f>
        <v>5.606574853310841E-2</v>
      </c>
      <c r="I14" s="3">
        <f t="shared" ref="I14" si="31">IFERROR(D14/_1_bq,".")</f>
        <v>0.21796218474119655</v>
      </c>
      <c r="J14" s="3">
        <f t="shared" ref="J14" si="32">IFERROR(E14/_1_bq,".")</f>
        <v>0.10880907834432958</v>
      </c>
      <c r="K14" s="3">
        <f t="shared" ref="K14" si="33">IFERROR(F14/_1_bq,".")</f>
        <v>3.1901737558602171E-2</v>
      </c>
      <c r="L14" s="5">
        <f t="shared" ref="L14" si="34">IFERROR(G14/_1_bq,".")</f>
        <v>4.0900306085182705E-2</v>
      </c>
      <c r="M14" s="2">
        <f>IFERROR(C14*Isospec!C13*Isospec!F13*SSLgram,".")</f>
        <v>1.35526244700657E-14</v>
      </c>
      <c r="N14" s="3">
        <f>IFERROR(D14*Isospec!C13*Isospec!F13*SSLcm_m,".")</f>
        <v>5.2687419962441502E-17</v>
      </c>
      <c r="O14" s="3">
        <f>IFERROR(E14*Isospec!C13*Isospec!F13*SSLgram,".")</f>
        <v>2.6302129487557547E-14</v>
      </c>
      <c r="P14" s="3">
        <f>IFERROR(F14*Isospec!C13*Isospec!F13*SSLgram,".")</f>
        <v>7.711522282075829E-15</v>
      </c>
      <c r="Q14" s="5">
        <f>IFERROR(G14*Isospec!C13*Isospec!F13*SSLgram,".")</f>
        <v>9.8867223498477067E-15</v>
      </c>
      <c r="R14" s="67">
        <f t="shared" ref="R14" si="35">IF(D14&lt;&gt;".",D14*2.22*100,".")</f>
        <v>1307.7731084471782</v>
      </c>
    </row>
    <row r="15" spans="1:18">
      <c r="A15" s="87" t="s">
        <v>28</v>
      </c>
      <c r="B15" s="12" t="s">
        <v>59</v>
      </c>
      <c r="C15" s="2">
        <f>IFERROR((DL)/(Doses!I13*GSFb*Fin*Fi*Fam*Foff*Isospec!H14*ETres*(1/24)*EFres*(1/365)),".")</f>
        <v>2.7560689744696072</v>
      </c>
      <c r="D15" s="3">
        <f>IFERROR((DL)/(Doses!L13*GSFb*Fin*Fi*Fam*Foff*Isospec!G14*ETres*(1/24)*EFres*(1/365)),".")</f>
        <v>13.383826194894736</v>
      </c>
      <c r="E15" s="3">
        <f>IFERROR((DL)/(Doses!M13*GSFb*Fin*Fi*Fam*Foff*Isospec!I14*ETres*(1/24)*EFres*(1/365)),".")</f>
        <v>2.7613784461790063</v>
      </c>
      <c r="F15" s="3">
        <f>IFERROR((DL)/(Doses!N13*GSFb*Fin*Fi*Fam*Foff*Isospec!J14*ETres*(1/24)*EFres*(1/365)),".")</f>
        <v>0.9466248621999499</v>
      </c>
      <c r="G15" s="5">
        <f>IFERROR((DL)/(Doses!O13*GSFb*Fin*Fi*Fam*Foff*Isospec!K14*ETres*(1/24)*EFres*(1/365)),".")</f>
        <v>7.9727974014919516</v>
      </c>
      <c r="H15" s="2">
        <f t="shared" ref="H15:H16" si="36">IFERROR(C15/_1_bq,".")</f>
        <v>0.10197455205537558</v>
      </c>
      <c r="I15" s="3">
        <f t="shared" ref="I15:I16" si="37">IFERROR(D15/_1_bq,".")</f>
        <v>0.49520156921110575</v>
      </c>
      <c r="J15" s="3">
        <f t="shared" ref="J15:J16" si="38">IFERROR(E15/_1_bq,".")</f>
        <v>0.10217100250862333</v>
      </c>
      <c r="K15" s="3">
        <f t="shared" ref="K15:K16" si="39">IFERROR(F15/_1_bq,".")</f>
        <v>3.5025119901398179E-2</v>
      </c>
      <c r="L15" s="5">
        <f t="shared" ref="L15:L16" si="40">IFERROR(G15/_1_bq,".")</f>
        <v>0.29499350385520251</v>
      </c>
      <c r="M15" s="2">
        <f>IFERROR(C15*Isospec!C14*Isospec!F14*SSLgram,".")</f>
        <v>3.9212202844060191E-3</v>
      </c>
      <c r="N15" s="3">
        <f>IFERROR(D15*Isospec!C14*Isospec!F14*SSLcm_m,".")</f>
        <v>1.9041951142926524E-5</v>
      </c>
      <c r="O15" s="3">
        <f>IFERROR(E15*Isospec!C14*Isospec!F14*SSLgram,".")</f>
        <v>3.9287743798801286E-3</v>
      </c>
      <c r="P15" s="3">
        <f>IFERROR(F15*Isospec!C14*Isospec!F14*SSLgram,".")</f>
        <v>1.346818474343821E-3</v>
      </c>
      <c r="Q15" s="5">
        <f>IFERROR(G15*Isospec!C14*Isospec!F14*SSLgram,".")</f>
        <v>1.1343364474470848E-2</v>
      </c>
      <c r="R15" s="67">
        <f t="shared" ref="R15:R16" si="41">IF(D15&lt;&gt;".",D15*2.22*100,".")</f>
        <v>2971.2094152666318</v>
      </c>
    </row>
    <row r="16" spans="1:18">
      <c r="A16" s="87" t="s">
        <v>29</v>
      </c>
      <c r="B16" s="12" t="s">
        <v>59</v>
      </c>
      <c r="C16" s="2">
        <f>IFERROR((DL)/(Doses!I14*GSFb*Fin*Fi*Fam*Foff*Isospec!H15*ETres*(1/24)*EFres*(1/365)),".")</f>
        <v>0.18422685289641372</v>
      </c>
      <c r="D16" s="3">
        <f>IFERROR((DL)/(Doses!L14*GSFb*Fin*Fi*Fam*Foff*Isospec!G15*ETres*(1/24)*EFres*(1/365)),".")</f>
        <v>1.154761975485411</v>
      </c>
      <c r="E16" s="3">
        <f>IFERROR((DL)/(Doses!M14*GSFb*Fin*Fi*Fam*Foff*Isospec!I15*ETres*(1/24)*EFres*(1/365)),".")</f>
        <v>0.25774461864207365</v>
      </c>
      <c r="F16" s="3">
        <f>IFERROR((DL)/(Doses!N14*GSFb*Fin*Fi*Fam*Foff*Isospec!J15*ETres*(1/24)*EFres*(1/365)),".")</f>
        <v>7.6098341862042923E-2</v>
      </c>
      <c r="G16" s="5">
        <f>IFERROR((DL)/(Doses!O14*GSFb*Fin*Fi*Fam*Foff*Isospec!K15*ETres*(1/24)*EFres*(1/365)),".")</f>
        <v>0.28449555251227526</v>
      </c>
      <c r="H16" s="2">
        <f t="shared" si="36"/>
        <v>6.8163935571673145E-3</v>
      </c>
      <c r="I16" s="3">
        <f t="shared" si="37"/>
        <v>4.2726193092960253E-2</v>
      </c>
      <c r="J16" s="3">
        <f t="shared" si="38"/>
        <v>9.5365508897567348E-3</v>
      </c>
      <c r="K16" s="3">
        <f t="shared" si="39"/>
        <v>2.815638648895591E-3</v>
      </c>
      <c r="L16" s="5">
        <f t="shared" si="40"/>
        <v>1.0526335442954195E-2</v>
      </c>
      <c r="M16" s="2">
        <f>IFERROR(C16*Isospec!C15*Isospec!F15*SSLgram,".")</f>
        <v>8.8798709907900668E-12</v>
      </c>
      <c r="N16" s="3">
        <f>IFERROR(D16*Isospec!C15*Isospec!F15*SSLcm_m,".")</f>
        <v>5.5660383956870746E-14</v>
      </c>
      <c r="O16" s="3">
        <f>IFERROR(E16*Isospec!C15*Isospec!F15*SSLgram,".")</f>
        <v>1.2423481843870507E-11</v>
      </c>
      <c r="P16" s="3">
        <f>IFERROR(F16*Isospec!C15*Isospec!F15*SSLgram,".")</f>
        <v>3.6679965364654759E-12</v>
      </c>
      <c r="Q16" s="5">
        <f>IFERROR(G16*Isospec!C15*Isospec!F15*SSLgram,".")</f>
        <v>1.371289670340845E-11</v>
      </c>
      <c r="R16" s="67">
        <f t="shared" si="41"/>
        <v>256.3571585577613</v>
      </c>
    </row>
    <row r="17" spans="1:18">
      <c r="A17" s="87" t="s">
        <v>32</v>
      </c>
      <c r="B17" s="12" t="s">
        <v>59</v>
      </c>
      <c r="C17" s="2" t="str">
        <f>IFERROR((DL)/(Doses!I15*GSFb*Fin*Fi*Fam*Foff*Isospec!H16*ETres*(1/24)*EFres*(1/365)),".")</f>
        <v>.</v>
      </c>
      <c r="D17" s="3" t="str">
        <f>IFERROR((DL)/(Doses!L15*GSFb*Fin*Fi*Fam*Foff*Isospec!G16*ETres*(1/24)*EFres*(1/365)),".")</f>
        <v>.</v>
      </c>
      <c r="E17" s="3" t="str">
        <f>IFERROR((DL)/(Doses!M15*GSFb*Fin*Fi*Fam*Foff*Isospec!I16*ETres*(1/24)*EFres*(1/365)),".")</f>
        <v>.</v>
      </c>
      <c r="F17" s="3" t="str">
        <f>IFERROR((DL)/(Doses!N15*GSFb*Fin*Fi*Fam*Foff*Isospec!J16*ETres*(1/24)*EFres*(1/365)),".")</f>
        <v>.</v>
      </c>
      <c r="G17" s="5" t="str">
        <f>IFERROR((DL)/(Doses!O15*GSFb*Fin*Fi*Fam*Foff*Isospec!K16*ETres*(1/24)*EFres*(1/365)),".")</f>
        <v>.</v>
      </c>
      <c r="H17" s="2" t="str">
        <f t="shared" ref="H17:H23" si="42">IFERROR(C17/_1_bq,".")</f>
        <v>.</v>
      </c>
      <c r="I17" s="3" t="str">
        <f t="shared" ref="I17:I23" si="43">IFERROR(D17/_1_bq,".")</f>
        <v>.</v>
      </c>
      <c r="J17" s="3" t="str">
        <f t="shared" ref="J17:J23" si="44">IFERROR(E17/_1_bq,".")</f>
        <v>.</v>
      </c>
      <c r="K17" s="3" t="str">
        <f t="shared" ref="K17:K23" si="45">IFERROR(F17/_1_bq,".")</f>
        <v>.</v>
      </c>
      <c r="L17" s="5" t="str">
        <f t="shared" ref="L17:L23" si="46">IFERROR(G17/_1_bq,".")</f>
        <v>.</v>
      </c>
      <c r="M17" s="2" t="str">
        <f>IFERROR(C17*Isospec!C16*Isospec!F16*SSLgram,".")</f>
        <v>.</v>
      </c>
      <c r="N17" s="3" t="str">
        <f>IFERROR(D17*Isospec!C16*Isospec!F16*SSLcm_m,".")</f>
        <v>.</v>
      </c>
      <c r="O17" s="3" t="str">
        <f>IFERROR(E17*Isospec!C16*Isospec!F16*SSLgram,".")</f>
        <v>.</v>
      </c>
      <c r="P17" s="3" t="str">
        <f>IFERROR(F17*Isospec!C16*Isospec!F16*SSLgram,".")</f>
        <v>.</v>
      </c>
      <c r="Q17" s="5" t="str">
        <f>IFERROR(G17*Isospec!C16*Isospec!F16*SSLgram,".")</f>
        <v>.</v>
      </c>
      <c r="R17" s="67" t="str">
        <f t="shared" ref="R17:R23" si="47">IF(D17&lt;&gt;".",D17*2.22*100,".")</f>
        <v>.</v>
      </c>
    </row>
    <row r="18" spans="1:18">
      <c r="A18" s="87" t="s">
        <v>33</v>
      </c>
      <c r="B18" s="90" t="s">
        <v>59</v>
      </c>
      <c r="C18" s="2">
        <f>IFERROR((DL)/(Doses!I16*GSFb*Fin*Fi*Fam*Foff*Isospec!H17*ETres*(1/24)*EFres*(1/365)),".")</f>
        <v>242.19965520594388</v>
      </c>
      <c r="D18" s="3">
        <f>IFERROR((DL)/(Doses!L16*GSFb*Fin*Fi*Fam*Foff*Isospec!G17*ETres*(1/24)*EFres*(1/365)),".")</f>
        <v>393.31929835197246</v>
      </c>
      <c r="E18" s="3">
        <f>IFERROR((DL)/(Doses!M16*GSFb*Fin*Fi*Fam*Foff*Isospec!I17*ETres*(1/24)*EFres*(1/365)),".")</f>
        <v>91.679770607363267</v>
      </c>
      <c r="F18" s="3">
        <f>IFERROR((DL)/(Doses!N16*GSFb*Fin*Fi*Fam*Foff*Isospec!J17*ETres*(1/24)*EFres*(1/365)),".")</f>
        <v>65.360431359561133</v>
      </c>
      <c r="G18" s="5">
        <f>IFERROR((DL)/(Doses!O16*GSFb*Fin*Fi*Fam*Foff*Isospec!K17*ETres*(1/24)*EFres*(1/365)),".")</f>
        <v>653.77168396931495</v>
      </c>
      <c r="H18" s="2">
        <f t="shared" si="42"/>
        <v>8.9613872426199332</v>
      </c>
      <c r="I18" s="3">
        <f t="shared" si="43"/>
        <v>14.552814039022996</v>
      </c>
      <c r="J18" s="3">
        <f t="shared" si="44"/>
        <v>3.3921515124724442</v>
      </c>
      <c r="K18" s="3">
        <f t="shared" si="45"/>
        <v>2.4183359603037644</v>
      </c>
      <c r="L18" s="5">
        <f t="shared" si="46"/>
        <v>24.189552306864677</v>
      </c>
      <c r="M18" s="2">
        <f>IFERROR(C18*Isospec!C17*Isospec!F17*SSLgram,".")</f>
        <v>3.1615774191963082E-6</v>
      </c>
      <c r="N18" s="3">
        <f>IFERROR(D18*Isospec!C17*Isospec!F17*SSLcm_m,".")</f>
        <v>5.1342327929673084E-9</v>
      </c>
      <c r="O18" s="3">
        <f>IFERROR(E18*Isospec!C17*Isospec!F17*SSLgram,".")</f>
        <v>1.1967510536002769E-6</v>
      </c>
      <c r="P18" s="3">
        <f>IFERROR(F18*Isospec!C17*Isospec!F17*SSLgram,".")</f>
        <v>8.5318892679516721E-7</v>
      </c>
      <c r="Q18" s="5">
        <f>IFERROR(G18*Isospec!C17*Isospec!F17*SSLgram,".")</f>
        <v>8.5340740538618484E-6</v>
      </c>
      <c r="R18" s="67">
        <f t="shared" si="47"/>
        <v>87316.884234137906</v>
      </c>
    </row>
    <row r="19" spans="1:18">
      <c r="A19" s="87" t="s">
        <v>34</v>
      </c>
      <c r="B19" s="90" t="s">
        <v>59</v>
      </c>
      <c r="C19" s="2">
        <f>IFERROR((DL)/(Doses!I17*GSFb*Fin*Fi*Fam*Foff*Isospec!H18*ETres*(1/24)*EFres*(1/365)),".")</f>
        <v>0.35650904893260843</v>
      </c>
      <c r="D19" s="3">
        <f>IFERROR((DL)/(Doses!L17*GSFb*Fin*Fi*Fam*Foff*Isospec!G18*ETres*(1/24)*EFres*(1/365)),".")</f>
        <v>1.5608154975205923</v>
      </c>
      <c r="E19" s="3">
        <f>IFERROR((DL)/(Doses!M17*GSFb*Fin*Fi*Fam*Foff*Isospec!I18*ETres*(1/24)*EFres*(1/365)),".")</f>
        <v>0.54434073661362881</v>
      </c>
      <c r="F19" s="3">
        <f>IFERROR((DL)/(Doses!N17*GSFb*Fin*Fi*Fam*Foff*Isospec!J18*ETres*(1/24)*EFres*(1/365)),".")</f>
        <v>0.17409262817046028</v>
      </c>
      <c r="G19" s="5">
        <f>IFERROR((DL)/(Doses!O17*GSFb*Fin*Fi*Fam*Foff*Isospec!K18*ETres*(1/24)*EFres*(1/365)),".")</f>
        <v>0.25144703396169171</v>
      </c>
      <c r="H19" s="2">
        <f t="shared" si="42"/>
        <v>1.3190834810506525E-2</v>
      </c>
      <c r="I19" s="3">
        <f t="shared" si="43"/>
        <v>5.7750173408261975E-2</v>
      </c>
      <c r="J19" s="3">
        <f t="shared" si="44"/>
        <v>2.0140607254704287E-2</v>
      </c>
      <c r="K19" s="3">
        <f t="shared" si="45"/>
        <v>6.4414272423070369E-3</v>
      </c>
      <c r="L19" s="5">
        <f t="shared" si="46"/>
        <v>9.3035402565826032E-3</v>
      </c>
      <c r="M19" s="2">
        <f>IFERROR(C19*Isospec!C18*Isospec!F18*SSLgram,".")</f>
        <v>1.0892355313598129E-14</v>
      </c>
      <c r="N19" s="3">
        <f>IFERROR(D19*Isospec!C18*Isospec!F18*SSLcm_m,".")</f>
        <v>4.7687308439619591E-17</v>
      </c>
      <c r="O19" s="3">
        <f>IFERROR(E19*Isospec!C18*Isospec!F18*SSLgram,".")</f>
        <v>1.6631142274265745E-14</v>
      </c>
      <c r="P19" s="3">
        <f>IFERROR(F19*Isospec!C18*Isospec!F18*SSLgram,".")</f>
        <v>5.3190200057705509E-15</v>
      </c>
      <c r="Q19" s="5">
        <f>IFERROR(G19*Isospec!C18*Isospec!F18*SSLgram,".")</f>
        <v>7.6824149195126094E-15</v>
      </c>
      <c r="R19" s="67">
        <f t="shared" si="47"/>
        <v>346.50104044957158</v>
      </c>
    </row>
    <row r="20" spans="1:18">
      <c r="A20" s="87" t="s">
        <v>36</v>
      </c>
      <c r="B20" s="90" t="s">
        <v>59</v>
      </c>
      <c r="C20" s="2">
        <f>IFERROR((DL)/(Doses!I18*GSFb*Fin*Fi*Fam*Foff*Isospec!H19*ETres*(1/24)*EFres*(1/365)),".")</f>
        <v>638075595.19821131</v>
      </c>
      <c r="D20" s="3">
        <f>IFERROR((DL)/(Doses!L18*GSFb*Fin*Fi*Fam*Foff*Isospec!G19*ETres*(1/24)*EFres*(1/365)),".")</f>
        <v>5035761230.5585461</v>
      </c>
      <c r="E20" s="3">
        <f>IFERROR((DL)/(Doses!M18*GSFb*Fin*Fi*Fam*Foff*Isospec!I19*ETres*(1/24)*EFres*(1/365)),".")</f>
        <v>1676056129.786479</v>
      </c>
      <c r="F20" s="3">
        <f>IFERROR((DL)/(Doses!N18*GSFb*Fin*Fi*Fam*Foff*Isospec!J19*ETres*(1/24)*EFres*(1/365)),".")</f>
        <v>381570864.4361347</v>
      </c>
      <c r="G20" s="5">
        <f>IFERROR((DL)/(Doses!O18*GSFb*Fin*Fi*Fam*Foff*Isospec!K19*ETres*(1/24)*EFres*(1/365)),".")</f>
        <v>361866055.93601048</v>
      </c>
      <c r="H20" s="2">
        <f t="shared" si="42"/>
        <v>23608797.022333842</v>
      </c>
      <c r="I20" s="3">
        <f t="shared" si="43"/>
        <v>186323165.53066638</v>
      </c>
      <c r="J20" s="3">
        <f t="shared" si="44"/>
        <v>62014076.802099787</v>
      </c>
      <c r="K20" s="3">
        <f t="shared" si="45"/>
        <v>14118121.984136999</v>
      </c>
      <c r="L20" s="5">
        <f t="shared" si="46"/>
        <v>13389044.069632402</v>
      </c>
      <c r="M20" s="2">
        <f>IFERROR(C20*Isospec!C19*Isospec!F19*SSLgram,".")</f>
        <v>0.1422385669971353</v>
      </c>
      <c r="N20" s="3">
        <f>IFERROR(D20*Isospec!C19*Isospec!F19*SSLcm_m,".")</f>
        <v>1.1225620703325502E-3</v>
      </c>
      <c r="O20" s="3">
        <f>IFERROR(E20*Isospec!C19*Isospec!F19*SSLgram,".")</f>
        <v>0.37362316299456189</v>
      </c>
      <c r="P20" s="3">
        <f>IFERROR(F20*Isospec!C19*Isospec!F19*SSLgram,".")</f>
        <v>8.505903277556684E-2</v>
      </c>
      <c r="Q20" s="5">
        <f>IFERROR(G20*Isospec!C19*Isospec!F19*SSLgram,".")</f>
        <v>8.0666475302592203E-2</v>
      </c>
      <c r="R20" s="67">
        <f t="shared" si="47"/>
        <v>1117938993183.9973</v>
      </c>
    </row>
    <row r="21" spans="1:18">
      <c r="A21" s="87" t="s">
        <v>37</v>
      </c>
      <c r="B21" s="12" t="s">
        <v>59</v>
      </c>
      <c r="C21" s="2">
        <f>IFERROR((DL)/(Doses!I19*GSFb*Fin*Fi*Fam*Foff*Isospec!H20*ETres*(1/24)*EFres*(1/365)),".")</f>
        <v>40235497.93461667</v>
      </c>
      <c r="D21" s="3">
        <f>IFERROR((DL)/(Doses!L19*GSFb*Fin*Fi*Fam*Foff*Isospec!G20*ETres*(1/24)*EFres*(1/365)),".")</f>
        <v>312834419.76673287</v>
      </c>
      <c r="E21" s="3">
        <f>IFERROR((DL)/(Doses!M19*GSFb*Fin*Fi*Fam*Foff*Isospec!I20*ETres*(1/24)*EFres*(1/365)),".")</f>
        <v>104160176.783353</v>
      </c>
      <c r="F21" s="3">
        <f>IFERROR((DL)/(Doses!N19*GSFb*Fin*Fi*Fam*Foff*Isospec!J20*ETres*(1/24)*EFres*(1/365)),".")</f>
        <v>24098799.103205428</v>
      </c>
      <c r="G21" s="5">
        <f>IFERROR((DL)/(Doses!O19*GSFb*Fin*Fi*Fam*Foff*Isospec!K20*ETres*(1/24)*EFres*(1/365)),".")</f>
        <v>22443383.15330087</v>
      </c>
      <c r="H21" s="2">
        <f t="shared" si="42"/>
        <v>1488713.4235808183</v>
      </c>
      <c r="I21" s="3">
        <f t="shared" si="43"/>
        <v>11574873.531369127</v>
      </c>
      <c r="J21" s="3">
        <f t="shared" si="44"/>
        <v>3853926.5409840648</v>
      </c>
      <c r="K21" s="3">
        <f t="shared" si="45"/>
        <v>891655.56681860168</v>
      </c>
      <c r="L21" s="5">
        <f t="shared" si="46"/>
        <v>830405.17667213304</v>
      </c>
      <c r="M21" s="2">
        <f>IFERROR(C21*Isospec!C20*Isospec!F20*SSLgram,".")</f>
        <v>3.195874367911645E-15</v>
      </c>
      <c r="N21" s="3">
        <f>IFERROR(D21*Isospec!C20*Isospec!F20*SSLcm_m,".")</f>
        <v>2.4848195122567431E-17</v>
      </c>
      <c r="O21" s="3">
        <f>IFERROR(E21*Isospec!C20*Isospec!F20*SSLgram,".")</f>
        <v>8.2733619869698997E-15</v>
      </c>
      <c r="P21" s="3">
        <f>IFERROR(F21*Isospec!C20*Isospec!F20*SSLgram,".")</f>
        <v>1.9141489059372349E-15</v>
      </c>
      <c r="Q21" s="5">
        <f>IFERROR(G21*Isospec!C20*Isospec!F20*SSLgram,".")</f>
        <v>1.7826605020623967E-15</v>
      </c>
      <c r="R21" s="67">
        <f t="shared" si="47"/>
        <v>69449241188.214706</v>
      </c>
    </row>
    <row r="22" spans="1:18">
      <c r="A22" s="87" t="s">
        <v>38</v>
      </c>
      <c r="B22" s="90" t="s">
        <v>59</v>
      </c>
      <c r="C22" s="2">
        <f>IFERROR((DL)/(Doses!I20*GSFb*Fin*Fi*Fam*Foff*Isospec!H21*ETres*(1/24)*EFres*(1/365)),".")</f>
        <v>8718595.8208579719</v>
      </c>
      <c r="D22" s="3">
        <f>IFERROR((DL)/(Doses!L20*GSFb*Fin*Fi*Fam*Foff*Isospec!G21*ETres*(1/24)*EFres*(1/365)),".")</f>
        <v>68565887.274338961</v>
      </c>
      <c r="E22" s="3">
        <f>IFERROR((DL)/(Doses!M20*GSFb*Fin*Fi*Fam*Foff*Isospec!I21*ETres*(1/24)*EFres*(1/365)),".")</f>
        <v>22834650.142261162</v>
      </c>
      <c r="F22" s="3">
        <f>IFERROR((DL)/(Doses!N20*GSFb*Fin*Fi*Fam*Foff*Isospec!J21*ETres*(1/24)*EFres*(1/365)),".")</f>
        <v>5211472.606219979</v>
      </c>
      <c r="G22" s="5">
        <f>IFERROR((DL)/(Doses!O20*GSFb*Fin*Fi*Fam*Foff*Isospec!K21*ETres*(1/24)*EFres*(1/365)),".")</f>
        <v>4914968.5635260744</v>
      </c>
      <c r="H22" s="2">
        <f t="shared" si="42"/>
        <v>322588.04537174531</v>
      </c>
      <c r="I22" s="3">
        <f t="shared" si="43"/>
        <v>2536937.829150544</v>
      </c>
      <c r="J22" s="3">
        <f t="shared" si="44"/>
        <v>844882.05526366387</v>
      </c>
      <c r="K22" s="3">
        <f t="shared" si="45"/>
        <v>192824.48643013943</v>
      </c>
      <c r="L22" s="5">
        <f t="shared" si="46"/>
        <v>181853.83685046493</v>
      </c>
      <c r="M22" s="2">
        <f>IFERROR(C22*Isospec!C21*Isospec!F21*SSLgram,".")</f>
        <v>2.7217567344795844E-14</v>
      </c>
      <c r="N22" s="3">
        <f>IFERROR(D22*Isospec!C21*Isospec!F21*SSLcm_m,".")</f>
        <v>2.1404784586761061E-16</v>
      </c>
      <c r="O22" s="3">
        <f>IFERROR(E22*Isospec!C21*Isospec!F21*SSLgram,".")</f>
        <v>7.1284830815873827E-14</v>
      </c>
      <c r="P22" s="3">
        <f>IFERROR(F22*Isospec!C21*Isospec!F21*SSLgram,".")</f>
        <v>1.6269088456424462E-14</v>
      </c>
      <c r="Q22" s="5">
        <f>IFERROR(G22*Isospec!C21*Isospec!F21*SSLgram,".")</f>
        <v>1.5343467070155014E-14</v>
      </c>
      <c r="R22" s="67">
        <f t="shared" si="47"/>
        <v>15221626974.90325</v>
      </c>
    </row>
    <row r="23" spans="1:18">
      <c r="A23" s="87" t="s">
        <v>39</v>
      </c>
      <c r="B23" s="90" t="s">
        <v>59</v>
      </c>
      <c r="C23" s="2" t="str">
        <f>IFERROR((DL)/(Doses!I21*GSFb*Fin*Fi*Fam*Foff*Isospec!H22*ETres*(1/24)*EFres*(1/365)),".")</f>
        <v>.</v>
      </c>
      <c r="D23" s="3" t="str">
        <f>IFERROR((DL)/(Doses!L21*GSFb*Fin*Fi*Fam*Foff*Isospec!G22*ETres*(1/24)*EFres*(1/365)),".")</f>
        <v>.</v>
      </c>
      <c r="E23" s="3" t="str">
        <f>IFERROR((DL)/(Doses!M21*GSFb*Fin*Fi*Fam*Foff*Isospec!I22*ETres*(1/24)*EFres*(1/365)),".")</f>
        <v>.</v>
      </c>
      <c r="F23" s="3" t="str">
        <f>IFERROR((DL)/(Doses!N21*GSFb*Fin*Fi*Fam*Foff*Isospec!J22*ETres*(1/24)*EFres*(1/365)),".")</f>
        <v>.</v>
      </c>
      <c r="G23" s="5" t="str">
        <f>IFERROR((DL)/(Doses!O21*GSFb*Fin*Fi*Fam*Foff*Isospec!K22*ETres*(1/24)*EFres*(1/365)),".")</f>
        <v>.</v>
      </c>
      <c r="H23" s="2" t="str">
        <f t="shared" si="42"/>
        <v>.</v>
      </c>
      <c r="I23" s="3" t="str">
        <f t="shared" si="43"/>
        <v>.</v>
      </c>
      <c r="J23" s="3" t="str">
        <f t="shared" si="44"/>
        <v>.</v>
      </c>
      <c r="K23" s="3" t="str">
        <f t="shared" si="45"/>
        <v>.</v>
      </c>
      <c r="L23" s="5" t="str">
        <f t="shared" si="46"/>
        <v>.</v>
      </c>
      <c r="M23" s="2" t="str">
        <f>IFERROR(C23*Isospec!C22*Isospec!F22*SSLgram,".")</f>
        <v>.</v>
      </c>
      <c r="N23" s="3" t="str">
        <f>IFERROR(D23*Isospec!C22*Isospec!F22*SSLcm_m,".")</f>
        <v>.</v>
      </c>
      <c r="O23" s="3" t="str">
        <f>IFERROR(E23*Isospec!C22*Isospec!F22*SSLgram,".")</f>
        <v>.</v>
      </c>
      <c r="P23" s="3" t="str">
        <f>IFERROR(F23*Isospec!C22*Isospec!F22*SSLgram,".")</f>
        <v>.</v>
      </c>
      <c r="Q23" s="5" t="str">
        <f>IFERROR(G23*Isospec!C22*Isospec!F22*SSLgram,".")</f>
        <v>.</v>
      </c>
      <c r="R23" s="67" t="str">
        <f t="shared" si="47"/>
        <v>.</v>
      </c>
    </row>
    <row r="24" spans="1:18">
      <c r="A24" s="87" t="s">
        <v>26</v>
      </c>
      <c r="B24" s="12" t="s">
        <v>59</v>
      </c>
      <c r="C24" s="2">
        <f>IFERROR((DL)/(Doses!I22*GSFb*Fin*Fi*Fam*Foff*Isospec!H23*ETres*(1/24)*EFres*(1/365)),".")</f>
        <v>38.521913560732798</v>
      </c>
      <c r="D24" s="3">
        <f>IFERROR((DL)/(Doses!L22*GSFb*Fin*Fi*Fam*Foff*Isospec!G23*ETres*(1/24)*EFres*(1/365)),".")</f>
        <v>66.48903352963552</v>
      </c>
      <c r="E24" s="3">
        <f>IFERROR((DL)/(Doses!M22*GSFb*Fin*Fi*Fam*Foff*Isospec!I23*ETres*(1/24)*EFres*(1/365)),".")</f>
        <v>26.850063344071387</v>
      </c>
      <c r="F24" s="3">
        <f>IFERROR((DL)/(Doses!N22*GSFb*Fin*Fi*Fam*Foff*Isospec!J23*ETres*(1/24)*EFres*(1/365)),".")</f>
        <v>16.152995514627325</v>
      </c>
      <c r="G24" s="5">
        <f>IFERROR((DL)/(Doses!O22*GSFb*Fin*Fi*Fam*Foff*Isospec!K23*ETres*(1/24)*EFres*(1/365)),".")</f>
        <v>141.60602618605611</v>
      </c>
      <c r="H24" s="2">
        <f t="shared" ref="H24:H25" si="48">IFERROR(C24/_1_bq,".")</f>
        <v>1.425310801747115</v>
      </c>
      <c r="I24" s="3">
        <f t="shared" ref="I24:I25" si="49">IFERROR(D24/_1_bq,".")</f>
        <v>2.4600942405965167</v>
      </c>
      <c r="J24" s="3">
        <f t="shared" ref="J24:J25" si="50">IFERROR(E24/_1_bq,".")</f>
        <v>0.99345234373064228</v>
      </c>
      <c r="K24" s="3">
        <f t="shared" ref="K24:K25" si="51">IFERROR(F24/_1_bq,".")</f>
        <v>0.59766083404121162</v>
      </c>
      <c r="L24" s="5">
        <f t="shared" ref="L24:L25" si="52">IFERROR(G24/_1_bq,".")</f>
        <v>5.2394229688840817</v>
      </c>
      <c r="M24" s="2">
        <f>IFERROR(C24*Isospec!C23*Isospec!F23*SSLgram,".")</f>
        <v>9.9069918519067722E-10</v>
      </c>
      <c r="N24" s="3">
        <f>IFERROR(D24*Isospec!C23*Isospec!F23*SSLcm_m,".")</f>
        <v>1.7099522129936599E-12</v>
      </c>
      <c r="O24" s="3">
        <f>IFERROR(E24*Isospec!C23*Isospec!F23*SSLgram,".")</f>
        <v>6.9052477975560825E-10</v>
      </c>
      <c r="P24" s="3">
        <f>IFERROR(F24*Isospec!C23*Isospec!F23*SSLgram,".")</f>
        <v>4.1541964081042741E-10</v>
      </c>
      <c r="Q24" s="5">
        <f>IFERROR(G24*Isospec!C23*Isospec!F23*SSLgram,".")</f>
        <v>3.6417966241328841E-9</v>
      </c>
      <c r="R24" s="67">
        <f t="shared" ref="R24:R25" si="53">IF(D24&lt;&gt;".",D24*2.22*100,".")</f>
        <v>14760.565443579088</v>
      </c>
    </row>
    <row r="25" spans="1:18">
      <c r="A25" s="88" t="s">
        <v>27</v>
      </c>
      <c r="B25" s="90" t="s">
        <v>44</v>
      </c>
      <c r="C25" s="2">
        <f>IFERROR((DL)/(Doses!I23*GSFb*Fin*Fi*Fam*Foff*Isospec!H24*ETres*(1/24)*EFres*(1/365)),".")</f>
        <v>17.931512918093496</v>
      </c>
      <c r="D25" s="3">
        <f>IFERROR((DL)/(Doses!L23*GSFb*Fin*Fi*Fam*Foff*Isospec!G24*ETres*(1/24)*EFres*(1/365)),".")</f>
        <v>74.411231032900574</v>
      </c>
      <c r="E25" s="3">
        <f>IFERROR((DL)/(Doses!M23*GSFb*Fin*Fi*Fam*Foff*Isospec!I24*ETres*(1/24)*EFres*(1/365)),".")</f>
        <v>59.153272210194196</v>
      </c>
      <c r="F25" s="3">
        <f>IFERROR((DL)/(Doses!N23*GSFb*Fin*Fi*Fam*Foff*Isospec!J24*ETres*(1/24)*EFres*(1/365)),".")</f>
        <v>20.798561945437115</v>
      </c>
      <c r="G25" s="5">
        <f>IFERROR((DL)/(Doses!O23*GSFb*Fin*Fi*Fam*Foff*Isospec!K24*ETres*(1/24)*EFres*(1/365)),".")</f>
        <v>16.734194129294014</v>
      </c>
      <c r="H25" s="2">
        <f t="shared" si="48"/>
        <v>0.66346597796946005</v>
      </c>
      <c r="I25" s="3">
        <f t="shared" si="49"/>
        <v>2.7532155482173239</v>
      </c>
      <c r="J25" s="3">
        <f t="shared" si="50"/>
        <v>2.1886710717771876</v>
      </c>
      <c r="K25" s="3">
        <f t="shared" si="51"/>
        <v>0.76954679198117404</v>
      </c>
      <c r="L25" s="5">
        <f t="shared" si="52"/>
        <v>0.61916518278387911</v>
      </c>
      <c r="M25" s="2">
        <f>IFERROR(C25*Isospec!C24*Isospec!F24*SSLgram,".")</f>
        <v>1.8155298199311301E-5</v>
      </c>
      <c r="N25" s="3">
        <f>IFERROR(D25*Isospec!C24*Isospec!F24*SSLcm_m,".")</f>
        <v>7.5339883196191185E-8</v>
      </c>
      <c r="O25" s="3">
        <f>IFERROR(E25*Isospec!C24*Isospec!F24*SSLgram,".")</f>
        <v>5.989150504737742E-5</v>
      </c>
      <c r="P25" s="3">
        <f>IFERROR(F25*Isospec!C24*Isospec!F24*SSLgram,".")</f>
        <v>2.1058127998516168E-5</v>
      </c>
      <c r="Q25" s="5">
        <f>IFERROR(G25*Isospec!C24*Isospec!F24*SSLgram,".")</f>
        <v>1.6943036872027601E-5</v>
      </c>
      <c r="R25" s="67">
        <f t="shared" si="53"/>
        <v>16519.293289303929</v>
      </c>
    </row>
    <row r="26" spans="1:18">
      <c r="A26" s="87" t="s">
        <v>30</v>
      </c>
      <c r="B26" s="90" t="s">
        <v>59</v>
      </c>
      <c r="C26" s="2">
        <f>IFERROR((DL)/(Doses!I24*GSFb*Fin*Fi*Fam*Foff*Isospec!H25*ETres*(1/24)*EFres*(1/365)),".")</f>
        <v>64390.492249426614</v>
      </c>
      <c r="D26" s="3">
        <f>IFERROR((DL)/(Doses!L24*GSFb*Fin*Fi*Fam*Foff*Isospec!G25*ETres*(1/24)*EFres*(1/365)),".")</f>
        <v>618085.69578322873</v>
      </c>
      <c r="E26" s="3">
        <f>IFERROR((DL)/(Doses!M24*GSFb*Fin*Fi*Fam*Foff*Isospec!I25*ETres*(1/24)*EFres*(1/365)),".")</f>
        <v>219898.40042259538</v>
      </c>
      <c r="F26" s="3">
        <f>IFERROR((DL)/(Doses!N24*GSFb*Fin*Fi*Fam*Foff*Isospec!J25*ETres*(1/24)*EFres*(1/365)),".")</f>
        <v>49196.827247403489</v>
      </c>
      <c r="G26" s="5">
        <f>IFERROR((DL)/(Doses!O24*GSFb*Fin*Fi*Fam*Foff*Isospec!K25*ETres*(1/24)*EFres*(1/365)),".")</f>
        <v>33259.499065109521</v>
      </c>
      <c r="H26" s="2">
        <f t="shared" ref="H26:H27" si="54">IFERROR(C26/_1_bq,".")</f>
        <v>2382.4482132287872</v>
      </c>
      <c r="I26" s="3">
        <f t="shared" ref="I26:I27" si="55">IFERROR(D26/_1_bq,".")</f>
        <v>22869.170743979485</v>
      </c>
      <c r="J26" s="3">
        <f t="shared" ref="J26:J27" si="56">IFERROR(E26/_1_bq,".")</f>
        <v>8136.240815636037</v>
      </c>
      <c r="K26" s="3">
        <f t="shared" ref="K26:K27" si="57">IFERROR(F26/_1_bq,".")</f>
        <v>1820.2826081539311</v>
      </c>
      <c r="L26" s="5">
        <f t="shared" ref="L26:L27" si="58">IFERROR(G26/_1_bq,".")</f>
        <v>1230.6014654090536</v>
      </c>
      <c r="M26" s="2">
        <f>IFERROR(C26*Isospec!C25*Isospec!F25*SSLgram,".")</f>
        <v>4.3621209932039543E-14</v>
      </c>
      <c r="N26" s="3">
        <f>IFERROR(D26*Isospec!C25*Isospec!F25*SSLcm_m,".")</f>
        <v>4.1872091592825249E-16</v>
      </c>
      <c r="O26" s="3">
        <f>IFERROR(E26*Isospec!C25*Isospec!F25*SSLgram,".")</f>
        <v>1.4896973067695631E-13</v>
      </c>
      <c r="P26" s="3">
        <f>IFERROR(F26*Isospec!C25*Isospec!F25*SSLgram,".")</f>
        <v>3.3328292025417477E-14</v>
      </c>
      <c r="Q26" s="5">
        <f>IFERROR(G26*Isospec!C25*Isospec!F25*SSLgram,".")</f>
        <v>2.2531580987665685E-14</v>
      </c>
      <c r="R26" s="67">
        <f t="shared" ref="R26:R27" si="59">IF(D26&lt;&gt;".",D26*2.22*100,".")</f>
        <v>137215024.46387678</v>
      </c>
    </row>
    <row r="27" spans="1:18">
      <c r="A27" s="88" t="s">
        <v>31</v>
      </c>
      <c r="B27" s="90" t="s">
        <v>44</v>
      </c>
      <c r="C27" s="2">
        <f>IFERROR((DL)/(Doses!I25*GSFb*Fin*Fi*Fam*Foff*Isospec!H26*ETres*(1/24)*EFres*(1/365)),".")</f>
        <v>210430.87707136403</v>
      </c>
      <c r="D27" s="3">
        <f>IFERROR((DL)/(Doses!L25*GSFb*Fin*Fi*Fam*Foff*Isospec!G26*ETres*(1/24)*EFres*(1/365)),".")</f>
        <v>1893787.8359788558</v>
      </c>
      <c r="E27" s="3">
        <f>IFERROR((DL)/(Doses!M25*GSFb*Fin*Fi*Fam*Foff*Isospec!I26*ETres*(1/24)*EFres*(1/365)),".")</f>
        <v>724668.91648749355</v>
      </c>
      <c r="F27" s="3">
        <f>IFERROR((DL)/(Doses!N25*GSFb*Fin*Fi*Fam*Foff*Isospec!J26*ETres*(1/24)*EFres*(1/365)),".")</f>
        <v>185567.48886982043</v>
      </c>
      <c r="G27" s="5">
        <f>IFERROR((DL)/(Doses!O25*GSFb*Fin*Fi*Fam*Foff*Isospec!K26*ETres*(1/24)*EFres*(1/365)),".")</f>
        <v>122511.74622741698</v>
      </c>
      <c r="H27" s="2">
        <f t="shared" si="54"/>
        <v>7785.942451640477</v>
      </c>
      <c r="I27" s="3">
        <f t="shared" si="55"/>
        <v>70070.149931217733</v>
      </c>
      <c r="J27" s="3">
        <f t="shared" si="56"/>
        <v>26812.749910037288</v>
      </c>
      <c r="K27" s="3">
        <f t="shared" si="57"/>
        <v>6865.9970881833633</v>
      </c>
      <c r="L27" s="5">
        <f t="shared" si="58"/>
        <v>4532.9346104144333</v>
      </c>
      <c r="M27" s="2">
        <f>IFERROR(C27*Isospec!C26*Isospec!F26*SSLgram,".")</f>
        <v>1.3702149484729176E-6</v>
      </c>
      <c r="N27" s="3">
        <f>IFERROR(D27*Isospec!C26*Isospec!F26*SSLcm_m,".")</f>
        <v>1.2331348128223558E-8</v>
      </c>
      <c r="O27" s="3">
        <f>IFERROR(E27*Isospec!C26*Isospec!F26*SSLgram,".")</f>
        <v>4.7186619943046348E-6</v>
      </c>
      <c r="P27" s="3">
        <f>IFERROR(F27*Isospec!C26*Isospec!F26*SSLgram,".")</f>
        <v>1.2083176705754037E-6</v>
      </c>
      <c r="Q27" s="5">
        <f>IFERROR(G27*Isospec!C26*Isospec!F26*SSLgram,".")</f>
        <v>7.9773191263845726E-7</v>
      </c>
      <c r="R27" s="67">
        <f t="shared" si="59"/>
        <v>420420899.58730602</v>
      </c>
    </row>
    <row r="28" spans="1:18">
      <c r="A28" s="87" t="s">
        <v>35</v>
      </c>
      <c r="B28" s="12" t="s">
        <v>59</v>
      </c>
      <c r="C28" s="2">
        <f>IFERROR((DL)/(Doses!I26*GSFb*Fin*Fi*Fam*Foff*Isospec!H27*ETres*(1/24)*EFres*(1/365)),".")</f>
        <v>0.447355576403418</v>
      </c>
      <c r="D28" s="3">
        <f>IFERROR((DL)/(Doses!L26*GSFb*Fin*Fi*Fam*Foff*Isospec!G27*ETres*(1/24)*EFres*(1/365)),".")</f>
        <v>2.314775913178988</v>
      </c>
      <c r="E28" s="3">
        <f>IFERROR((DL)/(Doses!M26*GSFb*Fin*Fi*Fam*Foff*Isospec!I27*ETres*(1/24)*EFres*(1/365)),".")</f>
        <v>0.42844261704179448</v>
      </c>
      <c r="F28" s="3">
        <f>IFERROR((DL)/(Doses!N26*GSFb*Fin*Fi*Fam*Foff*Isospec!J27*ETres*(1/24)*EFres*(1/365)),".")</f>
        <v>0.1558460673287711</v>
      </c>
      <c r="G28" s="5">
        <f>IFERROR((DL)/(Doses!O26*GSFb*Fin*Fi*Fam*Foff*Isospec!K27*ETres*(1/24)*EFres*(1/365)),".")</f>
        <v>1.1089691873462613</v>
      </c>
      <c r="H28" s="2">
        <f t="shared" ref="H28:H31" si="60">IFERROR(C28/_1_bq,".")</f>
        <v>1.6552156326926484E-2</v>
      </c>
      <c r="I28" s="3">
        <f t="shared" ref="I28:I31" si="61">IFERROR(D28/_1_bq,".")</f>
        <v>8.564670878762265E-2</v>
      </c>
      <c r="J28" s="3">
        <f t="shared" ref="J28:J31" si="62">IFERROR(E28/_1_bq,".")</f>
        <v>1.5852376830546411E-2</v>
      </c>
      <c r="K28" s="3">
        <f t="shared" ref="K28:K31" si="63">IFERROR(F28/_1_bq,".")</f>
        <v>5.7663044911645369E-3</v>
      </c>
      <c r="L28" s="5">
        <f t="shared" ref="L28:L31" si="64">IFERROR(G28/_1_bq,".")</f>
        <v>4.1031859931811708E-2</v>
      </c>
      <c r="M28" s="2">
        <f>IFERROR(C28*Isospec!C27*Isospec!F27*SSLgram,".")</f>
        <v>2.1054378636296576E-6</v>
      </c>
      <c r="N28" s="3">
        <f>IFERROR(D28*Isospec!C27*Isospec!F27*SSLcm_m,".")</f>
        <v>1.0894279875992894E-8</v>
      </c>
      <c r="O28" s="3">
        <f>IFERROR(E28*Isospec!C27*Isospec!F27*SSLgram,".")</f>
        <v>2.0164257603864377E-6</v>
      </c>
      <c r="P28" s="3">
        <f>IFERROR(F28*Isospec!C27*Isospec!F27*SSLgram,".")</f>
        <v>7.3347517804466681E-7</v>
      </c>
      <c r="Q28" s="5">
        <f>IFERROR(G28*Isospec!C27*Isospec!F27*SSLgram,".")</f>
        <v>5.2192614550799427E-6</v>
      </c>
      <c r="R28" s="67">
        <f t="shared" ref="R28:R31" si="65">IF(D28&lt;&gt;".",D28*2.22*100,".")</f>
        <v>513.88025272573532</v>
      </c>
    </row>
    <row r="29" spans="1:18">
      <c r="A29" s="87" t="s">
        <v>40</v>
      </c>
      <c r="B29" s="90" t="s">
        <v>59</v>
      </c>
      <c r="C29" s="2">
        <f>IFERROR((DL)/(Doses!I27*GSFb*Fin*Fi*Fam*Foff*Isospec!H28*ETres*(1/24)*EFres*(1/365)),".")</f>
        <v>24436.699537456749</v>
      </c>
      <c r="D29" s="3">
        <f>IFERROR((DL)/(Doses!L27*GSFb*Fin*Fi*Fam*Foff*Isospec!G28*ETres*(1/24)*EFres*(1/365)),".")</f>
        <v>4445.7974170754842</v>
      </c>
      <c r="E29" s="3">
        <f>IFERROR((DL)/(Doses!M27*GSFb*Fin*Fi*Fam*Foff*Isospec!I28*ETres*(1/24)*EFres*(1/365)),".")</f>
        <v>10519.257626821662</v>
      </c>
      <c r="F29" s="3">
        <f>IFERROR((DL)/(Doses!N27*GSFb*Fin*Fi*Fam*Foff*Isospec!J28*ETres*(1/24)*EFres*(1/365)),".")</f>
        <v>7746.4739995454484</v>
      </c>
      <c r="G29" s="5">
        <f>IFERROR((DL)/(Doses!O27*GSFb*Fin*Fi*Fam*Foff*Isospec!K28*ETres*(1/24)*EFres*(1/365)),".")</f>
        <v>35390.913797641842</v>
      </c>
      <c r="H29" s="2">
        <f t="shared" si="60"/>
        <v>904.15788288590056</v>
      </c>
      <c r="I29" s="3">
        <f t="shared" si="61"/>
        <v>164.49450443179308</v>
      </c>
      <c r="J29" s="3">
        <f t="shared" si="62"/>
        <v>389.21253219240185</v>
      </c>
      <c r="K29" s="3">
        <f t="shared" si="63"/>
        <v>286.61953798318189</v>
      </c>
      <c r="L29" s="5">
        <f t="shared" si="64"/>
        <v>1309.4638105127494</v>
      </c>
      <c r="M29" s="2">
        <f>IFERROR(C29*Isospec!C28*Isospec!F28*SSLgram,".")</f>
        <v>1.1263198407812289E-10</v>
      </c>
      <c r="N29" s="3">
        <f>IFERROR(D29*Isospec!C28*Isospec!F28*SSLcm_m,".")</f>
        <v>2.0491269008200946E-14</v>
      </c>
      <c r="O29" s="3">
        <f>IFERROR(E29*Isospec!C28*Isospec!F28*SSLgram,".")</f>
        <v>4.848465136307679E-11</v>
      </c>
      <c r="P29" s="3">
        <f>IFERROR(F29*Isospec!C28*Isospec!F28*SSLgram,".")</f>
        <v>3.5704524452699539E-11</v>
      </c>
      <c r="Q29" s="5">
        <f>IFERROR(G29*Isospec!C28*Isospec!F28*SSLgram,".")</f>
        <v>1.6312140816136886E-10</v>
      </c>
      <c r="R29" s="67">
        <f t="shared" si="65"/>
        <v>986967.02659075765</v>
      </c>
    </row>
    <row r="30" spans="1:18">
      <c r="A30" s="87" t="s">
        <v>41</v>
      </c>
      <c r="B30" s="12" t="s">
        <v>59</v>
      </c>
      <c r="C30" s="2">
        <f>IFERROR((DL)/(Doses!I28*GSFb*Fin*Fi*Fam*Foff*Isospec!H29*ETres*(1/24)*EFres*(1/365)),".")</f>
        <v>1.3212232064933632E-2</v>
      </c>
      <c r="D30" s="3">
        <f>IFERROR((DL)/(Doses!L28*GSFb*Fin*Fi*Fam*Foff*Isospec!G29*ETres*(1/24)*EFres*(1/365)),".")</f>
        <v>7.3611021659358289E-2</v>
      </c>
      <c r="E30" s="3">
        <f>IFERROR((DL)/(Doses!M28*GSFb*Fin*Fi*Fam*Foff*Isospec!I29*ETres*(1/24)*EFres*(1/365)),".")</f>
        <v>2.8228078183181116E-2</v>
      </c>
      <c r="F30" s="3">
        <f>IFERROR((DL)/(Doses!N28*GSFb*Fin*Fi*Fam*Foff*Isospec!J29*ETres*(1/24)*EFres*(1/365)),".")</f>
        <v>8.4261233542865747E-3</v>
      </c>
      <c r="G30" s="5">
        <f>IFERROR((DL)/(Doses!O28*GSFb*Fin*Fi*Fam*Foff*Isospec!K29*ETres*(1/24)*EFres*(1/365)),".")</f>
        <v>8.4605979465272995E-3</v>
      </c>
      <c r="H30" s="2">
        <f t="shared" si="60"/>
        <v>4.8885258640254492E-4</v>
      </c>
      <c r="I30" s="3">
        <f t="shared" si="61"/>
        <v>2.7236078013962595E-3</v>
      </c>
      <c r="J30" s="3">
        <f t="shared" si="62"/>
        <v>1.0444388927777024E-3</v>
      </c>
      <c r="K30" s="3">
        <f t="shared" si="63"/>
        <v>3.1176656410860358E-4</v>
      </c>
      <c r="L30" s="5">
        <f t="shared" si="64"/>
        <v>3.1304212402151038E-4</v>
      </c>
      <c r="M30" s="2">
        <f>IFERROR(C30*Isospec!C29*Isospec!F29*SSLgram,".")</f>
        <v>3.1789223591526866E-17</v>
      </c>
      <c r="N30" s="3">
        <f>IFERROR(D30*Isospec!C29*Isospec!F29*SSLcm_m,".")</f>
        <v>1.7711142332571664E-19</v>
      </c>
      <c r="O30" s="3">
        <f>IFERROR(E30*Isospec!C29*Isospec!F29*SSLgram,".")</f>
        <v>6.7918023579519492E-17</v>
      </c>
      <c r="P30" s="3">
        <f>IFERROR(F30*Isospec!C29*Isospec!F29*SSLgram,".")</f>
        <v>2.0273631132329631E-17</v>
      </c>
      <c r="Q30" s="5">
        <f>IFERROR(G30*Isospec!C29*Isospec!F29*SSLgram,".")</f>
        <v>2.0356578549206737E-17</v>
      </c>
      <c r="R30" s="67">
        <f t="shared" si="65"/>
        <v>16.34164680837754</v>
      </c>
    </row>
    <row r="31" spans="1:18">
      <c r="A31" s="87" t="s">
        <v>42</v>
      </c>
      <c r="B31" s="90" t="s">
        <v>59</v>
      </c>
      <c r="C31" s="2">
        <f>IFERROR((DL)/(Doses!I29*GSFb*Fin*Fi*Fam*Foff*Isospec!H30*ETres*(1/24)*EFres*(1/365)),".")</f>
        <v>8.517672662297018E-3</v>
      </c>
      <c r="D31" s="3">
        <f>IFERROR((DL)/(Doses!L29*GSFb*Fin*Fi*Fam*Foff*Isospec!G30*ETres*(1/24)*EFres*(1/365)),".")</f>
        <v>5.5996880784756245E-2</v>
      </c>
      <c r="E31" s="3">
        <f>IFERROR((DL)/(Doses!M29*GSFb*Fin*Fi*Fam*Foff*Isospec!I30*ETres*(1/24)*EFres*(1/365)),".")</f>
        <v>1.9126875938889419E-2</v>
      </c>
      <c r="F31" s="3">
        <f>IFERROR((DL)/(Doses!N29*GSFb*Fin*Fi*Fam*Foff*Isospec!J30*ETres*(1/24)*EFres*(1/365)),".")</f>
        <v>5.0463955309969083E-3</v>
      </c>
      <c r="G31" s="5">
        <f>IFERROR((DL)/(Doses!O29*GSFb*Fin*Fi*Fam*Foff*Isospec!K30*ETres*(1/24)*EFres*(1/365)),".")</f>
        <v>5.1253723582073479E-3</v>
      </c>
      <c r="H31" s="2">
        <f t="shared" si="60"/>
        <v>3.1515388850499E-4</v>
      </c>
      <c r="I31" s="3">
        <f t="shared" si="61"/>
        <v>2.0718845890359831E-3</v>
      </c>
      <c r="J31" s="3">
        <f t="shared" si="62"/>
        <v>7.0769440973890917E-4</v>
      </c>
      <c r="K31" s="3">
        <f t="shared" si="63"/>
        <v>1.8671663464688579E-4</v>
      </c>
      <c r="L31" s="5">
        <f t="shared" si="64"/>
        <v>1.8963877725367207E-4</v>
      </c>
      <c r="M31" s="2">
        <f>IFERROR(C31*Isospec!C30*Isospec!F30*SSLgram,".")</f>
        <v>1.2387574168682917E-17</v>
      </c>
      <c r="N31" s="3">
        <f>IFERROR(D31*Isospec!C30*Isospec!F30*SSLcm_m,".")</f>
        <v>8.143838598148216E-20</v>
      </c>
      <c r="O31" s="3">
        <f>IFERROR(E31*Isospec!C30*Isospec!F30*SSLgram,".")</f>
        <v>2.7816940577790802E-17</v>
      </c>
      <c r="P31" s="3">
        <f>IFERROR(F31*Isospec!C30*Isospec!F30*SSLgram,".")</f>
        <v>7.3391642768150257E-18</v>
      </c>
      <c r="Q31" s="5">
        <f>IFERROR(G31*Isospec!C30*Isospec!F30*SSLgram,".")</f>
        <v>7.4540232698128552E-18</v>
      </c>
      <c r="R31" s="67">
        <f t="shared" si="65"/>
        <v>12.431307534215888</v>
      </c>
    </row>
    <row r="32" spans="1:18">
      <c r="A32" s="87" t="s">
        <v>25</v>
      </c>
      <c r="B32" s="12" t="s">
        <v>59</v>
      </c>
      <c r="C32" s="2">
        <f>IFERROR((DL)/(Doses!I30*GSFb*Fin*Fi*Fam*Foff*Isospec!H31*ETres*(1/24)*EFres*(1/365)),".")</f>
        <v>895.67113180175511</v>
      </c>
      <c r="D32" s="3">
        <f>IFERROR((DL)/(Doses!L30*GSFb*Fin*Fi*Fam*Foff*Isospec!G31*ETres*(1/24)*EFres*(1/365)),".")</f>
        <v>8541.4595941848111</v>
      </c>
      <c r="E32" s="3">
        <f>IFERROR((DL)/(Doses!M30*GSFb*Fin*Fi*Fam*Foff*Isospec!I31*ETres*(1/24)*EFres*(1/365)),".")</f>
        <v>2192.5624517766087</v>
      </c>
      <c r="F32" s="3">
        <f>IFERROR((DL)/(Doses!N30*GSFb*Fin*Fi*Fam*Foff*Isospec!J31*ETres*(1/24)*EFres*(1/365)),".")</f>
        <v>804.9201424820053</v>
      </c>
      <c r="G32" s="5">
        <f>IFERROR((DL)/(Doses!O30*GSFb*Fin*Fi*Fam*Foff*Isospec!K31*ETres*(1/24)*EFres*(1/365)),".")</f>
        <v>7299.9636140710672</v>
      </c>
      <c r="H32" s="2">
        <f t="shared" ref="H32" si="66">IFERROR(C32/_1_bq,".")</f>
        <v>33.139831876664971</v>
      </c>
      <c r="I32" s="3">
        <f t="shared" ref="I32" si="67">IFERROR(D32/_1_bq,".")</f>
        <v>316.0340049848383</v>
      </c>
      <c r="J32" s="3">
        <f t="shared" ref="J32" si="68">IFERROR(E32/_1_bq,".")</f>
        <v>81.124810715734597</v>
      </c>
      <c r="K32" s="3">
        <f t="shared" ref="K32" si="69">IFERROR(F32/_1_bq,".")</f>
        <v>29.782045271834228</v>
      </c>
      <c r="L32" s="5">
        <f t="shared" ref="L32" si="70">IFERROR(G32/_1_bq,".")</f>
        <v>270.09865372062978</v>
      </c>
      <c r="M32" s="2">
        <f>IFERROR(C32*Isospec!C31*Isospec!F31*SSLgram,".")</f>
        <v>9.3026266744884428E-2</v>
      </c>
      <c r="N32" s="3">
        <f>IFERROR(D32*Isospec!C31*Isospec!F31*SSLcm_m,".")</f>
        <v>8.8713375968799059E-4</v>
      </c>
      <c r="O32" s="3">
        <f>IFERROR(E32*Isospec!C31*Isospec!F31*SSLgram,".")</f>
        <v>0.22772409677141825</v>
      </c>
      <c r="P32" s="3">
        <f>IFERROR(F32*Isospec!C31*Isospec!F31*SSLgram,".")</f>
        <v>8.3600680232077423E-2</v>
      </c>
      <c r="Q32" s="5">
        <f>IFERROR(G32*Isospec!C31*Isospec!F31*SSLgram,".")</f>
        <v>0.75818940488173825</v>
      </c>
      <c r="R32" s="67">
        <f t="shared" ref="R32" si="71">IF(D32&lt;&gt;".",D32*2.22*100,".")</f>
        <v>1896204.0299090284</v>
      </c>
    </row>
    <row r="33" spans="1:18">
      <c r="A33" s="30" t="s">
        <v>14</v>
      </c>
      <c r="B33" s="30" t="s">
        <v>59</v>
      </c>
      <c r="C33" s="76">
        <f>IFERROR(1/SUM(1/C34,1/C35,1/C36,1/C37,1/C38,1/C39,1/C40,1/C41,1/C42,1/C43,1/C44,1/C45),0)</f>
        <v>9.6826301186469482E-2</v>
      </c>
      <c r="D33" s="77">
        <f t="shared" ref="D33:G33" si="72">IFERROR(1/SUM(1/D34,1/D35,1/D36,1/D37,1/D38,1/D39,1/D40,1/D41,1/D42,1/D43,1/D44,1/D45),0)</f>
        <v>0.53423573474024311</v>
      </c>
      <c r="E33" s="77">
        <f t="shared" si="72"/>
        <v>0.12841717612936024</v>
      </c>
      <c r="F33" s="77">
        <f t="shared" si="72"/>
        <v>4.080403223500103E-2</v>
      </c>
      <c r="G33" s="77">
        <f t="shared" si="72"/>
        <v>0.12409199188164353</v>
      </c>
      <c r="H33" s="76">
        <f>IFERROR(1/SUM(1/H34,1/H35,1/H36,1/H37,1/H38,1/H39,1/H40,1/H41,1/H42,1/H43,1/H44,1/H45),0)</f>
        <v>3.582573143899375E-3</v>
      </c>
      <c r="I33" s="77">
        <f t="shared" ref="I33" si="73">IFERROR(1/SUM(1/I34,1/I35,1/I36,1/I37,1/I38,1/I39,1/I40,1/I41,1/I42,1/I43,1/I44,1/I45),0)</f>
        <v>1.9766722185389017E-2</v>
      </c>
      <c r="J33" s="77">
        <f t="shared" ref="J33" si="74">IFERROR(1/SUM(1/J34,1/J35,1/J36,1/J37,1/J38,1/J39,1/J40,1/J41,1/J42,1/J43,1/J44,1/J45),0)</f>
        <v>4.7514355167863325E-3</v>
      </c>
      <c r="K33" s="77">
        <f t="shared" ref="K33" si="75">IFERROR(1/SUM(1/K34,1/K35,1/K36,1/K37,1/K38,1/K39,1/K40,1/K41,1/K42,1/K43,1/K44,1/K45),0)</f>
        <v>1.5097491926950393E-3</v>
      </c>
      <c r="L33" s="77">
        <f t="shared" ref="L33" si="76">IFERROR(1/SUM(1/L34,1/L35,1/L36,1/L37,1/L38,1/L39,1/L40,1/L41,1/L42,1/L43,1/L44,1/L45),0)</f>
        <v>4.5914036996208144E-3</v>
      </c>
      <c r="M33" s="20">
        <f>IFERROR(C33*VLOOKUP("Am-241",Isospec!$A$3:$R$31,3)*VLOOKUP("Am-241",Isospec!$A$3:$R$31,6)*SSLgram,".")</f>
        <v>2.823925131116011E-8</v>
      </c>
      <c r="N33" s="19">
        <f>IFERROR(D33*VLOOKUP("Am-241",Isospec!$A$3:$R$31,3)*VLOOKUP("Am-241",Isospec!$A$3:$R$31,6)*SSLcm_m,".")</f>
        <v>1.5580908273753388E-10</v>
      </c>
      <c r="O33" s="19">
        <f>IFERROR(E33*VLOOKUP("Am-241",Isospec!$A$3:$R$31,3)*VLOOKUP("Am-241",Isospec!$A$3:$R$31,6)*SSLgram,".")</f>
        <v>3.745268449739428E-8</v>
      </c>
      <c r="P33" s="19">
        <f>IFERROR(F33*VLOOKUP("Am-241",Isospec!$A$3:$R$31,3)*VLOOKUP("Am-241",Isospec!$A$3:$R$31,6)*SSLgram,".")</f>
        <v>1.1900437243531632E-8</v>
      </c>
      <c r="Q33" s="21">
        <f>IFERROR(G33*VLOOKUP("Am-241",Isospec!$A$3:$R$31,3)*VLOOKUP("Am-241",Isospec!$A$3:$R$31,6)*SSLgram,".")</f>
        <v>3.6191250739813025E-8</v>
      </c>
      <c r="R33" s="94">
        <f t="shared" ref="R33:R63" si="77">IF(D33&lt;&gt;".",D33*2.22*100,".")</f>
        <v>118.60033311233397</v>
      </c>
    </row>
    <row r="34" spans="1:18">
      <c r="A34" s="31" t="s">
        <v>175</v>
      </c>
      <c r="B34" s="32">
        <v>1</v>
      </c>
      <c r="C34" s="70">
        <f>IFERROR(VLOOKUP("Am-241",$A$4:$L$32,3)/$B34,0)</f>
        <v>23.255230064762575</v>
      </c>
      <c r="D34" s="71">
        <f>IFERROR(VLOOKUP("Am-241",$A$4:$L$32,4)/$B34,0)</f>
        <v>16.652378989977365</v>
      </c>
      <c r="E34" s="71">
        <f>IFERROR(VLOOKUP("Am-241",$A$4:$L$32,5)/$B34,0)</f>
        <v>15.123759766431798</v>
      </c>
      <c r="F34" s="71">
        <f>IFERROR(VLOOKUP("Am-241",$A$4:$L$32,6)/$B34,0)</f>
        <v>4.1904426649802513</v>
      </c>
      <c r="G34" s="71">
        <f>IFERROR(VLOOKUP("Am-241",$A$4:$L$32,7)/$B34,0)</f>
        <v>22.654631338327349</v>
      </c>
      <c r="H34" s="70">
        <f>IFERROR(VLOOKUP("Am-241",$A$4:$L$32,8)/$B34,0)</f>
        <v>0.86044351239621619</v>
      </c>
      <c r="I34" s="71">
        <f>IFERROR(VLOOKUP("Am-241",$A$4:$L$32,9)/$B34,0)</f>
        <v>0.61613802262916306</v>
      </c>
      <c r="J34" s="71">
        <f>IFERROR(VLOOKUP("Am-241",$A$4:$L$32,10)/$B34,0)</f>
        <v>0.55957911135797711</v>
      </c>
      <c r="K34" s="71">
        <f>IFERROR(VLOOKUP("Am-241",$A$4:$L$32,11)/$B34,0)</f>
        <v>0.15504637860426945</v>
      </c>
      <c r="L34" s="71">
        <f>IFERROR(VLOOKUP("Am-241",$A$4:$L$32,12)/$B34,0)</f>
        <v>0.83822135951811272</v>
      </c>
      <c r="M34" s="70">
        <f>IFERROR(VLOOKUP("Am-241",$A$4:$R$32,13)/$B34,0)</f>
        <v>6.7823543608567104E-6</v>
      </c>
      <c r="N34" s="71">
        <f>IFERROR(VLOOKUP("Am-241",$A$4:$R$32,14)/$B34,0)</f>
        <v>4.8566423530011521E-9</v>
      </c>
      <c r="O34" s="71">
        <f>IFERROR(VLOOKUP("Am-241",$A$4:$R$32,15)/$B34,0)</f>
        <v>4.4108227576657701E-6</v>
      </c>
      <c r="P34" s="71">
        <f>IFERROR(VLOOKUP("Am-241",$A$4:$R$32,16)/$B34,0)</f>
        <v>1.2221365690040525E-6</v>
      </c>
      <c r="Q34" s="71">
        <f>IFERROR(VLOOKUP("Am-241",$A$4:$R$32,17)/$B34,0)</f>
        <v>6.6071906071540435E-6</v>
      </c>
      <c r="R34" s="95">
        <f t="shared" si="77"/>
        <v>3696.8281357749752</v>
      </c>
    </row>
    <row r="35" spans="1:18">
      <c r="A35" s="31" t="s">
        <v>176</v>
      </c>
      <c r="B35" s="32">
        <v>1</v>
      </c>
      <c r="C35" s="70">
        <f>IFERROR(VLOOKUP("Np-237",$A$4:$L$32,3)/$B35,0)</f>
        <v>2.7560689744696072</v>
      </c>
      <c r="D35" s="71">
        <f>IFERROR(VLOOKUP("Np-237",$A$4:$L$32,4)/$B35,0)</f>
        <v>13.383826194894736</v>
      </c>
      <c r="E35" s="71">
        <f>IFERROR(VLOOKUP("Np-237",$A$4:$L$32,5)/$B35,0)</f>
        <v>2.7613784461790063</v>
      </c>
      <c r="F35" s="71">
        <f>IFERROR(VLOOKUP("Np-237",$A$4:$L$32,6)/$B35,0)</f>
        <v>0.9466248621999499</v>
      </c>
      <c r="G35" s="71">
        <f>IFERROR(VLOOKUP("Np-237",$A$4:$L$32,7)/$B35,0)</f>
        <v>7.9727974014919516</v>
      </c>
      <c r="H35" s="70">
        <f>IFERROR(VLOOKUP("Np-237",$A$4:$L$32,8)/$B35,0)</f>
        <v>0.10197455205537558</v>
      </c>
      <c r="I35" s="71">
        <f>IFERROR(VLOOKUP("Np-237",$A$4:$L$32,9)/$B35,0)</f>
        <v>0.49520156921110575</v>
      </c>
      <c r="J35" s="71">
        <f>IFERROR(VLOOKUP("Np-237",$A$4:$L$32,10)/$B35,0)</f>
        <v>0.10217100250862333</v>
      </c>
      <c r="K35" s="71">
        <f>IFERROR(VLOOKUP("Np-237",$A$4:$L$32,11)/$B35,0)</f>
        <v>3.5025119901398179E-2</v>
      </c>
      <c r="L35" s="71">
        <f>IFERROR(VLOOKUP("Np-237",$A$4:$L$32,12)/$B35,0)</f>
        <v>0.29499350385520251</v>
      </c>
      <c r="M35" s="70">
        <f>IFERROR(VLOOKUP("Np-237",$A$4:$R$32,13)/$B35,0)</f>
        <v>3.9212202844060191E-3</v>
      </c>
      <c r="N35" s="71">
        <f>IFERROR(VLOOKUP("Np-237",$A$4:$R$32,14)/$B35,0)</f>
        <v>1.9041951142926524E-5</v>
      </c>
      <c r="O35" s="71">
        <f>IFERROR(VLOOKUP("Np-237",$A$4:$R$32,15)/$B35,0)</f>
        <v>3.9287743798801286E-3</v>
      </c>
      <c r="P35" s="71">
        <f>IFERROR(VLOOKUP("Np-237",$A$4:$R$32,16)/$B35,0)</f>
        <v>1.346818474343821E-3</v>
      </c>
      <c r="Q35" s="71">
        <f>IFERROR(VLOOKUP("Np-237",$A$4:$R$32,17)/$B35,0)</f>
        <v>1.1343364474470848E-2</v>
      </c>
      <c r="R35" s="95">
        <f t="shared" si="77"/>
        <v>2971.2094152666318</v>
      </c>
    </row>
    <row r="36" spans="1:18">
      <c r="A36" s="31" t="s">
        <v>177</v>
      </c>
      <c r="B36" s="32">
        <v>1</v>
      </c>
      <c r="C36" s="70">
        <f>IFERROR(VLOOKUP("Pa-233",$A$4:$L$32,3)/$B36,0)</f>
        <v>0.18422685289641372</v>
      </c>
      <c r="D36" s="71">
        <f>IFERROR(VLOOKUP("Pa-233",$A$4:$L$32,4)/$B36,0)</f>
        <v>1.154761975485411</v>
      </c>
      <c r="E36" s="71">
        <f>IFERROR(VLOOKUP("Pa-233",$A$4:$L$32,5)/$B36,0)</f>
        <v>0.25774461864207365</v>
      </c>
      <c r="F36" s="71">
        <f>IFERROR(VLOOKUP("Pa-233",$A$4:$L$32,6)/$B36,0)</f>
        <v>7.6098341862042923E-2</v>
      </c>
      <c r="G36" s="71">
        <f>IFERROR(VLOOKUP("Pa-233",$A$4:$L$32,7)/$B36,0)</f>
        <v>0.28449555251227526</v>
      </c>
      <c r="H36" s="70">
        <f>IFERROR(VLOOKUP("Pa-233",$A$4:$L$32,8)/$B36,0)</f>
        <v>6.8163935571673145E-3</v>
      </c>
      <c r="I36" s="71">
        <f>IFERROR(VLOOKUP("Pa-233",$A$4:$L$32,9)/$B36,0)</f>
        <v>4.2726193092960253E-2</v>
      </c>
      <c r="J36" s="71">
        <f>IFERROR(VLOOKUP("Pa-233",$A$4:$L$32,10)/$B36,0)</f>
        <v>9.5365508897567348E-3</v>
      </c>
      <c r="K36" s="71">
        <f>IFERROR(VLOOKUP("Pa-233",$A$4:$L$32,11)/$B36,0)</f>
        <v>2.815638648895591E-3</v>
      </c>
      <c r="L36" s="71">
        <f>IFERROR(VLOOKUP("Pa-233",$A$4:$L$32,12)/$B36,0)</f>
        <v>1.0526335442954195E-2</v>
      </c>
      <c r="M36" s="70">
        <f>IFERROR(VLOOKUP("Pa-233",$A$4:$R$32,13)/$B36,0)</f>
        <v>8.8798709907900668E-12</v>
      </c>
      <c r="N36" s="71">
        <f>IFERROR(VLOOKUP("Pa-233",$A$4:$R$32,14)/$B36,0)</f>
        <v>5.5660383956870746E-14</v>
      </c>
      <c r="O36" s="71">
        <f>IFERROR(VLOOKUP("Pa-233",$A$4:$R$32,15)/$B36,0)</f>
        <v>1.2423481843870507E-11</v>
      </c>
      <c r="P36" s="71">
        <f>IFERROR(VLOOKUP("Pa-233",$A$4:$R$32,16)/$B36,0)</f>
        <v>3.6679965364654759E-12</v>
      </c>
      <c r="Q36" s="71">
        <f>IFERROR(VLOOKUP("Pa-233",$A$4:$R$32,17)/$B36,0)</f>
        <v>1.371289670340845E-11</v>
      </c>
      <c r="R36" s="95">
        <f t="shared" si="77"/>
        <v>256.3571585577613</v>
      </c>
    </row>
    <row r="37" spans="1:18">
      <c r="A37" s="31" t="s">
        <v>178</v>
      </c>
      <c r="B37" s="32">
        <v>1</v>
      </c>
      <c r="C37" s="70">
        <f>IFERROR(VLOOKUP("U-233",$A$4:$L$32,3)/$B37,0)</f>
        <v>895.67113180175511</v>
      </c>
      <c r="D37" s="71">
        <f>IFERROR(VLOOKUP("U-233",$A$4:$L$32,4)/$B37,0)</f>
        <v>8541.4595941848111</v>
      </c>
      <c r="E37" s="71">
        <f>IFERROR(VLOOKUP("U-233",$A$4:$L$32,5)/$B37,0)</f>
        <v>2192.5624517766087</v>
      </c>
      <c r="F37" s="71">
        <f>IFERROR(VLOOKUP("U-233",$A$4:$L$32,6)/$B37,0)</f>
        <v>804.9201424820053</v>
      </c>
      <c r="G37" s="71">
        <f>IFERROR(VLOOKUP("U-233",$A$4:$L$32,7)/$B37,0)</f>
        <v>7299.9636140710672</v>
      </c>
      <c r="H37" s="70">
        <f>IFERROR(VLOOKUP("U-233",$A$4:$L$32,8)/$B37,0)</f>
        <v>33.139831876664971</v>
      </c>
      <c r="I37" s="71">
        <f>IFERROR(VLOOKUP("U-233",$A$4:$L$32,9)/$B37,0)</f>
        <v>316.0340049848383</v>
      </c>
      <c r="J37" s="71">
        <f>IFERROR(VLOOKUP("U-233",$A$4:$L$32,10)/$B37,0)</f>
        <v>81.124810715734597</v>
      </c>
      <c r="K37" s="71">
        <f>IFERROR(VLOOKUP("U-233",$A$4:$L$32,11)/$B37,0)</f>
        <v>29.782045271834228</v>
      </c>
      <c r="L37" s="71">
        <f>IFERROR(VLOOKUP("U-233",$A$4:$L$32,12)/$B37,0)</f>
        <v>270.09865372062978</v>
      </c>
      <c r="M37" s="70">
        <f>IFERROR(VLOOKUP("U-233",$A$4:$R$32,13)/$B37,0)</f>
        <v>9.3026266744884428E-2</v>
      </c>
      <c r="N37" s="71">
        <f>IFERROR(VLOOKUP("U-233",$A$4:$R$32,14)/$B37,0)</f>
        <v>8.8713375968799059E-4</v>
      </c>
      <c r="O37" s="71">
        <f>IFERROR(VLOOKUP("U-233",$A$4:$R$32,15)/$B37,0)</f>
        <v>0.22772409677141825</v>
      </c>
      <c r="P37" s="71">
        <f>IFERROR(VLOOKUP("U-233",$A$4:$R$32,16)/$B37,0)</f>
        <v>8.3600680232077423E-2</v>
      </c>
      <c r="Q37" s="71">
        <f>IFERROR(VLOOKUP("U-233",$A$4:$R$32,17)/$B37,0)</f>
        <v>0.75818940488173825</v>
      </c>
      <c r="R37" s="95">
        <f t="shared" si="77"/>
        <v>1896204.0299090284</v>
      </c>
    </row>
    <row r="38" spans="1:18">
      <c r="A38" s="31" t="s">
        <v>179</v>
      </c>
      <c r="B38" s="32">
        <v>1</v>
      </c>
      <c r="C38" s="70">
        <f>IFERROR(VLOOKUP("Th-229",$A$4:$L$32,3)/$B38,0)</f>
        <v>0.447355576403418</v>
      </c>
      <c r="D38" s="71">
        <f>IFERROR(VLOOKUP("Th-229",$A$4:$L$32,4)/$B38,0)</f>
        <v>2.314775913178988</v>
      </c>
      <c r="E38" s="71">
        <f>IFERROR(VLOOKUP("Th-229",$A$4:$L$32,5)/$B38,0)</f>
        <v>0.42844261704179448</v>
      </c>
      <c r="F38" s="71">
        <f>IFERROR(VLOOKUP("Th-229",$A$4:$L$32,6)/$B38,0)</f>
        <v>0.1558460673287711</v>
      </c>
      <c r="G38" s="71">
        <f>IFERROR(VLOOKUP("Th-229",$A$4:$L$32,7)/$B38,0)</f>
        <v>1.1089691873462613</v>
      </c>
      <c r="H38" s="70">
        <f>IFERROR(VLOOKUP("Th-229",$A$4:$L$32,8)/$B38,0)</f>
        <v>1.6552156326926484E-2</v>
      </c>
      <c r="I38" s="71">
        <f>IFERROR(VLOOKUP("Th-229",$A$4:$L$32,9)/$B38,0)</f>
        <v>8.564670878762265E-2</v>
      </c>
      <c r="J38" s="71">
        <f>IFERROR(VLOOKUP("Th-229",$A$4:$L$32,10)/$B38,0)</f>
        <v>1.5852376830546411E-2</v>
      </c>
      <c r="K38" s="71">
        <f>IFERROR(VLOOKUP("Th-229",$A$4:$L$32,11)/$B38,0)</f>
        <v>5.7663044911645369E-3</v>
      </c>
      <c r="L38" s="71">
        <f>IFERROR(VLOOKUP("Th-229",$A$4:$L$32,12)/$B38,0)</f>
        <v>4.1031859931811708E-2</v>
      </c>
      <c r="M38" s="70">
        <f>IFERROR(VLOOKUP("Th-229",$A$4:$R$32,13)/$B38,0)</f>
        <v>2.1054378636296576E-6</v>
      </c>
      <c r="N38" s="71">
        <f>IFERROR(VLOOKUP("Th-229",$A$4:$R$32,14)/$B38,0)</f>
        <v>1.0894279875992894E-8</v>
      </c>
      <c r="O38" s="71">
        <f>IFERROR(VLOOKUP("Th-229",$A$4:$R$32,15)/$B38,0)</f>
        <v>2.0164257603864377E-6</v>
      </c>
      <c r="P38" s="71">
        <f>IFERROR(VLOOKUP("Th-229",$A$4:$R$32,16)/$B38,0)</f>
        <v>7.3347517804466681E-7</v>
      </c>
      <c r="Q38" s="71">
        <f>IFERROR(VLOOKUP("Th-229",$A$4:$R$32,17)/$B38,0)</f>
        <v>5.2192614550799427E-6</v>
      </c>
      <c r="R38" s="95">
        <f t="shared" si="77"/>
        <v>513.88025272573532</v>
      </c>
    </row>
    <row r="39" spans="1:18">
      <c r="A39" s="31" t="s">
        <v>180</v>
      </c>
      <c r="B39" s="32">
        <v>1</v>
      </c>
      <c r="C39" s="70">
        <f>IFERROR(VLOOKUP("Ra-225",$A$4:$L$32,3)/$B39,0)</f>
        <v>38.521913560732798</v>
      </c>
      <c r="D39" s="71">
        <f>IFERROR(VLOOKUP("Ra-225",$A$4:$L$32,4)/$B39,0)</f>
        <v>66.48903352963552</v>
      </c>
      <c r="E39" s="71">
        <f>IFERROR(VLOOKUP("Ra-225",$A$4:$L$32,5)/$B39,0)</f>
        <v>26.850063344071387</v>
      </c>
      <c r="F39" s="71">
        <f>IFERROR(VLOOKUP("Ra-225",$A$4:$L$32,6)/$B39,0)</f>
        <v>16.152995514627325</v>
      </c>
      <c r="G39" s="71">
        <f>IFERROR(VLOOKUP("Ra-225",$A$4:$L$32,7)/$B39,0)</f>
        <v>141.60602618605611</v>
      </c>
      <c r="H39" s="70">
        <f>IFERROR(VLOOKUP("Ra-225",$A$4:$L$32,8)/$B39,0)</f>
        <v>1.425310801747115</v>
      </c>
      <c r="I39" s="71">
        <f>IFERROR(VLOOKUP("Ra-225",$A$4:$L$32,9)/$B39,0)</f>
        <v>2.4600942405965167</v>
      </c>
      <c r="J39" s="71">
        <f>IFERROR(VLOOKUP("Ra-225",$A$4:$L$32,10)/$B39,0)</f>
        <v>0.99345234373064228</v>
      </c>
      <c r="K39" s="71">
        <f>IFERROR(VLOOKUP("Ra-225",$A$4:$L$32,11)/$B39,0)</f>
        <v>0.59766083404121162</v>
      </c>
      <c r="L39" s="71">
        <f>IFERROR(VLOOKUP("Ra-225",$A$4:$L$32,12)/$B39,0)</f>
        <v>5.2394229688840817</v>
      </c>
      <c r="M39" s="70">
        <f>IFERROR(VLOOKUP("Ra-225",$A$4:$R$32,13)/$B39,0)</f>
        <v>9.9069918519067722E-10</v>
      </c>
      <c r="N39" s="71">
        <f>IFERROR(VLOOKUP("Ra-225",$A$4:$R$32,14)/$B39,0)</f>
        <v>1.7099522129936599E-12</v>
      </c>
      <c r="O39" s="71">
        <f>IFERROR(VLOOKUP("Ra-225",$A$4:$R$32,15)/$B39,0)</f>
        <v>6.9052477975560825E-10</v>
      </c>
      <c r="P39" s="71">
        <f>IFERROR(VLOOKUP("Ra-225",$A$4:$R$32,16)/$B39,0)</f>
        <v>4.1541964081042741E-10</v>
      </c>
      <c r="Q39" s="71">
        <f>IFERROR(VLOOKUP("Ra-225",$A$4:$R$32,17)/$B39,0)</f>
        <v>3.6417966241328841E-9</v>
      </c>
      <c r="R39" s="95">
        <f t="shared" si="77"/>
        <v>14760.565443579088</v>
      </c>
    </row>
    <row r="40" spans="1:18">
      <c r="A40" s="31" t="s">
        <v>181</v>
      </c>
      <c r="B40" s="32">
        <v>1</v>
      </c>
      <c r="C40" s="70">
        <f>IFERROR(VLOOKUP("Ac-225",$A$4:$L$32,3)/$B40,0)</f>
        <v>10.771266738473651</v>
      </c>
      <c r="D40" s="71">
        <f>IFERROR(VLOOKUP("Ac-225",$A$4:$L$32,4)/$B40,0)</f>
        <v>67.094765811392904</v>
      </c>
      <c r="E40" s="71">
        <f>IFERROR(VLOOKUP("Ac-225",$A$4:$L$32,5)/$B40,0)</f>
        <v>10.730460922617739</v>
      </c>
      <c r="F40" s="71">
        <f>IFERROR(VLOOKUP("Ac-225",$A$4:$L$32,6)/$B40,0)</f>
        <v>3.9418412580738114</v>
      </c>
      <c r="G40" s="71">
        <f>IFERROR(VLOOKUP("Ac-225",$A$4:$L$32,7)/$B40,0)</f>
        <v>29.235711911076834</v>
      </c>
      <c r="H40" s="70">
        <f>IFERROR(VLOOKUP("Ac-225",$A$4:$L$32,8)/$B40,0)</f>
        <v>0.3985368693235255</v>
      </c>
      <c r="I40" s="71">
        <f>IFERROR(VLOOKUP("Ac-225",$A$4:$L$32,9)/$B40,0)</f>
        <v>2.4825063350215402</v>
      </c>
      <c r="J40" s="71">
        <f>IFERROR(VLOOKUP("Ac-225",$A$4:$L$32,10)/$B40,0)</f>
        <v>0.39702705413685674</v>
      </c>
      <c r="K40" s="71">
        <f>IFERROR(VLOOKUP("Ac-225",$A$4:$L$32,11)/$B40,0)</f>
        <v>0.14584812654873117</v>
      </c>
      <c r="L40" s="71">
        <f>IFERROR(VLOOKUP("Ac-225",$A$4:$L$32,12)/$B40,0)</f>
        <v>1.081721340709844</v>
      </c>
      <c r="M40" s="70">
        <f>IFERROR(VLOOKUP("Ac-225",$A$4:$R$32,13)/$B40,0)</f>
        <v>1.8591501493804106E-10</v>
      </c>
      <c r="N40" s="71">
        <f>IFERROR(VLOOKUP("Ac-225",$A$4:$R$32,14)/$B40,0)</f>
        <v>1.158074040032278E-12</v>
      </c>
      <c r="O40" s="71">
        <f>IFERROR(VLOOKUP("Ac-225",$A$4:$R$32,15)/$B40,0)</f>
        <v>1.8521069537669244E-10</v>
      </c>
      <c r="P40" s="71">
        <f>IFERROR(VLOOKUP("Ac-225",$A$4:$R$32,16)/$B40,0)</f>
        <v>6.8037260070864033E-11</v>
      </c>
      <c r="Q40" s="71">
        <f>IFERROR(VLOOKUP("Ac-225",$A$4:$R$32,17)/$B40,0)</f>
        <v>5.0461639736927867E-10</v>
      </c>
      <c r="R40" s="95">
        <f t="shared" si="77"/>
        <v>14895.038010129227</v>
      </c>
    </row>
    <row r="41" spans="1:18">
      <c r="A41" s="31" t="s">
        <v>182</v>
      </c>
      <c r="B41" s="32">
        <v>1</v>
      </c>
      <c r="C41" s="70">
        <f>IFERROR(VLOOKUP("Fr-221",$A$4:$L$32,3)/$B41,0)</f>
        <v>21.30679881569187</v>
      </c>
      <c r="D41" s="71">
        <f>IFERROR(VLOOKUP("Fr-221",$A$4:$L$32,4)/$B41,0)</f>
        <v>83.132546063710791</v>
      </c>
      <c r="E41" s="71">
        <f>IFERROR(VLOOKUP("Fr-221",$A$4:$L$32,5)/$B41,0)</f>
        <v>29.19057563496294</v>
      </c>
      <c r="F41" s="71">
        <f>IFERROR(VLOOKUP("Fr-221",$A$4:$L$32,6)/$B41,0)</f>
        <v>8.2503968903239819</v>
      </c>
      <c r="G41" s="71">
        <f>IFERROR(VLOOKUP("Fr-221",$A$4:$L$32,7)/$B41,0)</f>
        <v>16.403692849343049</v>
      </c>
      <c r="H41" s="70">
        <f>IFERROR(VLOOKUP("Fr-221",$A$4:$L$32,8)/$B41,0)</f>
        <v>0.78835155618060004</v>
      </c>
      <c r="I41" s="71">
        <f>IFERROR(VLOOKUP("Fr-221",$A$4:$L$32,9)/$B41,0)</f>
        <v>3.0759042043573022</v>
      </c>
      <c r="J41" s="71">
        <f>IFERROR(VLOOKUP("Fr-221",$A$4:$L$32,10)/$B41,0)</f>
        <v>1.0800512984936299</v>
      </c>
      <c r="K41" s="71">
        <f>IFERROR(VLOOKUP("Fr-221",$A$4:$L$32,11)/$B41,0)</f>
        <v>0.30526468494198766</v>
      </c>
      <c r="L41" s="71">
        <f>IFERROR(VLOOKUP("Fr-221",$A$4:$L$32,12)/$B41,0)</f>
        <v>0.60693663542569343</v>
      </c>
      <c r="M41" s="70">
        <f>IFERROR(VLOOKUP("Fr-221",$A$4:$R$32,13)/$B41,0)</f>
        <v>1.2291623064123994E-13</v>
      </c>
      <c r="N41" s="71">
        <f>IFERROR(VLOOKUP("Fr-221",$A$4:$R$32,14)/$B41,0)</f>
        <v>4.7958115595642905E-16</v>
      </c>
      <c r="O41" s="71">
        <f>IFERROR(VLOOKUP("Fr-221",$A$4:$R$32,15)/$B41,0)</f>
        <v>1.6839674313980964E-13</v>
      </c>
      <c r="P41" s="71">
        <f>IFERROR(VLOOKUP("Fr-221",$A$4:$R$32,16)/$B41,0)</f>
        <v>4.7595497372696309E-14</v>
      </c>
      <c r="Q41" s="71">
        <f>IFERROR(VLOOKUP("Fr-221",$A$4:$R$32,17)/$B41,0)</f>
        <v>9.4630831739631105E-14</v>
      </c>
      <c r="R41" s="95">
        <f t="shared" si="77"/>
        <v>18455.425226143798</v>
      </c>
    </row>
    <row r="42" spans="1:18">
      <c r="A42" s="31" t="s">
        <v>183</v>
      </c>
      <c r="B42" s="32">
        <v>1</v>
      </c>
      <c r="C42" s="70">
        <f>IFERROR(VLOOKUP("At-217",$A$4:$L$32,3)/$B42,0)</f>
        <v>344224.89197302773</v>
      </c>
      <c r="D42" s="71">
        <f>IFERROR(VLOOKUP("At-217",$A$4:$L$32,4)/$B42,0)</f>
        <v>1527741.9662655541</v>
      </c>
      <c r="E42" s="71">
        <f>IFERROR(VLOOKUP("At-217",$A$4:$L$32,5)/$B42,0)</f>
        <v>488119.42024030013</v>
      </c>
      <c r="F42" s="71">
        <f>IFERROR(VLOOKUP("At-217",$A$4:$L$32,6)/$B42,0)</f>
        <v>160117.07657244377</v>
      </c>
      <c r="G42" s="71">
        <f>IFERROR(VLOOKUP("At-217",$A$4:$L$32,7)/$B42,0)</f>
        <v>237414.18709924887</v>
      </c>
      <c r="H42" s="70">
        <f>IFERROR(VLOOKUP("At-217",$A$4:$L$32,8)/$B42,0)</f>
        <v>12736.321003002038</v>
      </c>
      <c r="I42" s="71">
        <f>IFERROR(VLOOKUP("At-217",$A$4:$L$32,9)/$B42,0)</f>
        <v>56526.452751825556</v>
      </c>
      <c r="J42" s="71">
        <f>IFERROR(VLOOKUP("At-217",$A$4:$L$32,10)/$B42,0)</f>
        <v>18060.418548891124</v>
      </c>
      <c r="K42" s="71">
        <f>IFERROR(VLOOKUP("At-217",$A$4:$L$32,11)/$B42,0)</f>
        <v>5924.3318331804257</v>
      </c>
      <c r="L42" s="71">
        <f>IFERROR(VLOOKUP("At-217",$A$4:$L$32,12)/$B42,0)</f>
        <v>8784.3249226722164</v>
      </c>
      <c r="M42" s="70">
        <f>IFERROR(VLOOKUP("At-217",$A$4:$R$32,13)/$B42,0)</f>
        <v>2.1421799635080041E-13</v>
      </c>
      <c r="N42" s="71">
        <f>IFERROR(VLOOKUP("At-217",$A$4:$R$32,14)/$B42,0)</f>
        <v>9.5074420992216583E-16</v>
      </c>
      <c r="O42" s="71">
        <f>IFERROR(VLOOKUP("At-217",$A$4:$R$32,15)/$B42,0)</f>
        <v>3.037664231208029E-13</v>
      </c>
      <c r="P42" s="71">
        <f>IFERROR(VLOOKUP("At-217",$A$4:$R$32,16)/$B42,0)</f>
        <v>9.9644041220540812E-14</v>
      </c>
      <c r="Q42" s="71">
        <f>IFERROR(VLOOKUP("At-217",$A$4:$R$32,17)/$B42,0)</f>
        <v>1.477475704157973E-13</v>
      </c>
      <c r="R42" s="95">
        <f t="shared" si="77"/>
        <v>339158716.51095307</v>
      </c>
    </row>
    <row r="43" spans="1:18">
      <c r="A43" s="31" t="s">
        <v>184</v>
      </c>
      <c r="B43" s="33">
        <v>0.99987999999999999</v>
      </c>
      <c r="C43" s="70">
        <f>IFERROR(VLOOKUP("Bi-213",$A$4:$L$32,3)/$B43,0)</f>
        <v>1.9609466206725108</v>
      </c>
      <c r="D43" s="71">
        <f>IFERROR(VLOOKUP("Bi-213",$A$4:$L$32,4)/$B43,0)</f>
        <v>8.8420573707482308</v>
      </c>
      <c r="E43" s="71">
        <f>IFERROR(VLOOKUP("Bi-213",$A$4:$L$32,5)/$B43,0)</f>
        <v>4.1743901711696862</v>
      </c>
      <c r="F43" s="71">
        <f>IFERROR(VLOOKUP("Bi-213",$A$4:$L$32,6)/$B43,0)</f>
        <v>1.3573219921214719</v>
      </c>
      <c r="G43" s="71">
        <f>IFERROR(VLOOKUP("Bi-213",$A$4:$L$32,7)/$B43,0)</f>
        <v>1.1112462351847812</v>
      </c>
      <c r="H43" s="70">
        <f>IFERROR(VLOOKUP("Bi-213",$A$4:$L$32,8)/$B43,0)</f>
        <v>7.2555024964882975E-2</v>
      </c>
      <c r="I43" s="71">
        <f>IFERROR(VLOOKUP("Bi-213",$A$4:$L$32,9)/$B43,0)</f>
        <v>0.32715612271768485</v>
      </c>
      <c r="J43" s="71">
        <f>IFERROR(VLOOKUP("Bi-213",$A$4:$L$32,10)/$B43,0)</f>
        <v>0.15445243633327854</v>
      </c>
      <c r="K43" s="71">
        <f>IFERROR(VLOOKUP("Bi-213",$A$4:$L$32,11)/$B43,0)</f>
        <v>5.0220913708494512E-2</v>
      </c>
      <c r="L43" s="71">
        <f>IFERROR(VLOOKUP("Bi-213",$A$4:$L$32,12)/$B43,0)</f>
        <v>4.1116110701836947E-2</v>
      </c>
      <c r="M43" s="70">
        <f>IFERROR(VLOOKUP("Bi-213",$A$4:$R$32,13)/$B43,0)</f>
        <v>1.0144196244045817E-13</v>
      </c>
      <c r="N43" s="71">
        <f>IFERROR(VLOOKUP("Bi-213",$A$4:$R$32,14)/$B43,0)</f>
        <v>4.5740951958814958E-16</v>
      </c>
      <c r="O43" s="71">
        <f>IFERROR(VLOOKUP("Bi-213",$A$4:$R$32,15)/$B43,0)</f>
        <v>2.1594587353448061E-13</v>
      </c>
      <c r="P43" s="71">
        <f>IFERROR(VLOOKUP("Bi-213",$A$4:$R$32,16)/$B43,0)</f>
        <v>7.0215785117686357E-14</v>
      </c>
      <c r="Q43" s="71">
        <f>IFERROR(VLOOKUP("Bi-213",$A$4:$R$32,17)/$B43,0)</f>
        <v>5.7486010921120935E-14</v>
      </c>
      <c r="R43" s="95">
        <f t="shared" si="77"/>
        <v>1962.9367363061074</v>
      </c>
    </row>
    <row r="44" spans="1:18">
      <c r="A44" s="31" t="s">
        <v>185</v>
      </c>
      <c r="B44" s="32">
        <v>0.97898250799999997</v>
      </c>
      <c r="C44" s="70">
        <f>IFERROR(VLOOKUP("Po-213",$A$4:$L$32,3)/$B44,0)</f>
        <v>41099302.189592004</v>
      </c>
      <c r="D44" s="71">
        <f>IFERROR(VLOOKUP("Po-213",$A$4:$L$32,4)/$B44,0)</f>
        <v>319550571.3435412</v>
      </c>
      <c r="E44" s="71">
        <f>IFERROR(VLOOKUP("Po-213",$A$4:$L$32,5)/$B44,0)</f>
        <v>106396361.45914979</v>
      </c>
      <c r="F44" s="71">
        <f>IFERROR(VLOOKUP("Po-213",$A$4:$L$32,6)/$B44,0)</f>
        <v>24616169.243348144</v>
      </c>
      <c r="G44" s="71">
        <f>IFERROR(VLOOKUP("Po-213",$A$4:$L$32,7)/$B44,0)</f>
        <v>22925213.64774055</v>
      </c>
      <c r="H44" s="70">
        <f>IFERROR(VLOOKUP("Po-213",$A$4:$L$32,8)/$B44,0)</f>
        <v>1520674.1810149057</v>
      </c>
      <c r="I44" s="71">
        <f>IFERROR(VLOOKUP("Po-213",$A$4:$L$32,9)/$B44,0)</f>
        <v>11823371.139711035</v>
      </c>
      <c r="J44" s="71">
        <f>IFERROR(VLOOKUP("Po-213",$A$4:$L$32,10)/$B44,0)</f>
        <v>3936665.373988546</v>
      </c>
      <c r="K44" s="71">
        <f>IFERROR(VLOOKUP("Po-213",$A$4:$L$32,11)/$B44,0)</f>
        <v>910798.26200388221</v>
      </c>
      <c r="L44" s="71">
        <f>IFERROR(VLOOKUP("Po-213",$A$4:$L$32,12)/$B44,0)</f>
        <v>848232.90496640117</v>
      </c>
      <c r="M44" s="70">
        <f>IFERROR(VLOOKUP("Po-213",$A$4:$R$32,13)/$B44,0)</f>
        <v>3.2644856693513519E-15</v>
      </c>
      <c r="N44" s="71">
        <f>IFERROR(VLOOKUP("Po-213",$A$4:$R$32,14)/$B44,0)</f>
        <v>2.5381653828862314E-17</v>
      </c>
      <c r="O44" s="71">
        <f>IFERROR(VLOOKUP("Po-213",$A$4:$R$32,15)/$B44,0)</f>
        <v>8.4509803999173193E-15</v>
      </c>
      <c r="P44" s="71">
        <f>IFERROR(VLOOKUP("Po-213",$A$4:$R$32,16)/$B44,0)</f>
        <v>1.9552432145572463E-15</v>
      </c>
      <c r="Q44" s="71">
        <f>IFERROR(VLOOKUP("Po-213",$A$4:$R$32,17)/$B44,0)</f>
        <v>1.8209319242120686E-15</v>
      </c>
      <c r="R44" s="95">
        <f t="shared" si="77"/>
        <v>70940226838.266159</v>
      </c>
    </row>
    <row r="45" spans="1:18">
      <c r="A45" s="31" t="s">
        <v>186</v>
      </c>
      <c r="B45" s="32">
        <v>2.0897492E-2</v>
      </c>
      <c r="C45" s="70">
        <f>IFERROR(VLOOKUP("Tl-209",$A$4:$L$32,3)/$B45,0)</f>
        <v>0.63224008244308127</v>
      </c>
      <c r="D45" s="71">
        <f>IFERROR(VLOOKUP("Tl-209",$A$4:$L$32,4)/$B45,0)</f>
        <v>3.5224811503389155</v>
      </c>
      <c r="E45" s="71">
        <f>IFERROR(VLOOKUP("Tl-209",$A$4:$L$32,5)/$B45,0)</f>
        <v>1.350787844932833</v>
      </c>
      <c r="F45" s="71">
        <f>IFERROR(VLOOKUP("Tl-209",$A$4:$L$32,6)/$B45,0)</f>
        <v>0.40321218231769507</v>
      </c>
      <c r="G45" s="71">
        <f>IFERROR(VLOOKUP("Tl-209",$A$4:$L$32,7)/$B45,0)</f>
        <v>0.40486188230278064</v>
      </c>
      <c r="H45" s="70">
        <f>IFERROR(VLOOKUP("Tl-209",$A$4:$L$32,8)/$B45,0)</f>
        <v>2.3392883050394032E-2</v>
      </c>
      <c r="I45" s="71">
        <f>IFERROR(VLOOKUP("Tl-209",$A$4:$L$32,9)/$B45,0)</f>
        <v>0.13033180256254001</v>
      </c>
      <c r="J45" s="71">
        <f>IFERROR(VLOOKUP("Tl-209",$A$4:$L$32,10)/$B45,0)</f>
        <v>4.9979150262514871E-2</v>
      </c>
      <c r="K45" s="71">
        <f>IFERROR(VLOOKUP("Tl-209",$A$4:$L$32,11)/$B45,0)</f>
        <v>1.4918850745754733E-2</v>
      </c>
      <c r="L45" s="71">
        <f>IFERROR(VLOOKUP("Tl-209",$A$4:$L$32,12)/$B45,0)</f>
        <v>1.4979889645202896E-2</v>
      </c>
      <c r="M45" s="70">
        <f>IFERROR(VLOOKUP("Tl-209",$A$4:$R$32,13)/$B45,0)</f>
        <v>1.5211980266113688E-15</v>
      </c>
      <c r="N45" s="71">
        <f>IFERROR(VLOOKUP("Tl-209",$A$4:$R$32,14)/$B45,0)</f>
        <v>8.4752478108720715E-18</v>
      </c>
      <c r="O45" s="71">
        <f>IFERROR(VLOOKUP("Tl-209",$A$4:$R$32,15)/$B45,0)</f>
        <v>3.2500562067218156E-15</v>
      </c>
      <c r="P45" s="71">
        <f>IFERROR(VLOOKUP("Tl-209",$A$4:$R$32,16)/$B45,0)</f>
        <v>9.7014661531295869E-16</v>
      </c>
      <c r="Q45" s="71">
        <f>IFERROR(VLOOKUP("Tl-209",$A$4:$R$32,17)/$B45,0)</f>
        <v>9.7411586755036137E-16</v>
      </c>
      <c r="R45" s="95">
        <f t="shared" si="77"/>
        <v>781.99081537523932</v>
      </c>
    </row>
    <row r="46" spans="1:18">
      <c r="A46" s="31" t="s">
        <v>187</v>
      </c>
      <c r="B46" s="32">
        <v>0.99987999999999999</v>
      </c>
      <c r="C46" s="70">
        <f>IFERROR(VLOOKUP("Pb-209",$A$4:$L$32,3)/$B46,0)</f>
        <v>0</v>
      </c>
      <c r="D46" s="71">
        <f>IFERROR(VLOOKUP("Pb-209",$A$4:$L$32,4)/$B46,0)</f>
        <v>0</v>
      </c>
      <c r="E46" s="71">
        <f>IFERROR(VLOOKUP("Pb-209",$A$4:$L$32,5)/$B46,0)</f>
        <v>0</v>
      </c>
      <c r="F46" s="71">
        <f>IFERROR(VLOOKUP("Pb-209",$A$4:$L$32,6)/$B46,0)</f>
        <v>0</v>
      </c>
      <c r="G46" s="71">
        <f>IFERROR(VLOOKUP("Pb-209",$A$4:$L$32,7)/$B46,0)</f>
        <v>0</v>
      </c>
      <c r="H46" s="70">
        <f>IFERROR(VLOOKUP("Pb-209",$A$4:$L$32,8)/$B46,0)</f>
        <v>0</v>
      </c>
      <c r="I46" s="71">
        <f>IFERROR(VLOOKUP("Pb-209",$A$4:$L$32,9)/$B46,0)</f>
        <v>0</v>
      </c>
      <c r="J46" s="71">
        <f>IFERROR(VLOOKUP("Pb-209",$A$4:$L$32,10)/$B46,0)</f>
        <v>0</v>
      </c>
      <c r="K46" s="71">
        <f>IFERROR(VLOOKUP("Pb-209",$A$4:$L$32,11)/$B46,0)</f>
        <v>0</v>
      </c>
      <c r="L46" s="71">
        <f>IFERROR(VLOOKUP("Pb-209",$A$4:$L$32,12)/$B46,0)</f>
        <v>0</v>
      </c>
      <c r="M46" s="70">
        <f>IFERROR(VLOOKUP("Pb-209",$A$4:$R$32,13)/$B46,0)</f>
        <v>0</v>
      </c>
      <c r="N46" s="71">
        <f>IFERROR(VLOOKUP("Pb-209",$A$4:$R$32,14)/$B46,0)</f>
        <v>0</v>
      </c>
      <c r="O46" s="71">
        <f>IFERROR(VLOOKUP("Pb-209",$A$4:$R$32,15)/$B46,0)</f>
        <v>0</v>
      </c>
      <c r="P46" s="71">
        <f>IFERROR(VLOOKUP("Pb-209",$A$4:$R$32,16)/$B46,0)</f>
        <v>0</v>
      </c>
      <c r="Q46" s="71">
        <f>IFERROR(VLOOKUP("Pb-209",$A$4:$R$32,17)/$B46,0)</f>
        <v>0</v>
      </c>
      <c r="R46" s="95">
        <f t="shared" si="77"/>
        <v>0</v>
      </c>
    </row>
    <row r="47" spans="1:18">
      <c r="A47" s="30" t="s">
        <v>17</v>
      </c>
      <c r="B47" s="30" t="s">
        <v>59</v>
      </c>
      <c r="C47" s="76">
        <f>IFERROR(1/SUM(1/C48,1/C49),0)</f>
        <v>0.11523292736892456</v>
      </c>
      <c r="D47" s="77">
        <f t="shared" ref="D47:G47" si="78">IFERROR(1/SUM(1/D48,1/D49),0)</f>
        <v>1.0369316865495655</v>
      </c>
      <c r="E47" s="77">
        <f t="shared" si="78"/>
        <v>0.35851826956252691</v>
      </c>
      <c r="F47" s="77">
        <f t="shared" si="78"/>
        <v>7.5337615086151638E-2</v>
      </c>
      <c r="G47" s="77">
        <f t="shared" si="78"/>
        <v>6.2725764632710887E-2</v>
      </c>
      <c r="H47" s="76">
        <f>IFERROR(1/SUM(1/H48,1/H49),0)</f>
        <v>4.263618312650215E-3</v>
      </c>
      <c r="I47" s="77">
        <f t="shared" ref="I47" si="79">IFERROR(1/SUM(1/I48,1/I49),0)</f>
        <v>3.836647240233397E-2</v>
      </c>
      <c r="J47" s="77">
        <f t="shared" ref="J47" si="80">IFERROR(1/SUM(1/J48,1/J49),0)</f>
        <v>1.3265175973813508E-2</v>
      </c>
      <c r="K47" s="77">
        <f t="shared" ref="K47" si="81">IFERROR(1/SUM(1/K48,1/K49),0)</f>
        <v>2.7874917581876134E-3</v>
      </c>
      <c r="L47" s="77">
        <f t="shared" ref="L47" si="82">IFERROR(1/SUM(1/L48,1/L49),0)</f>
        <v>2.3208532914103051E-3</v>
      </c>
      <c r="M47" s="20">
        <f>IFERROR(C47*VLOOKUP("Cs-137",Isospec!$A$3:$R$31,3)*VLOOKUP("Cs-137",Isospec!$A$3:$R$31,6)*SSLgram,".")</f>
        <v>1.3334869081034438E-9</v>
      </c>
      <c r="N47" s="19">
        <f>IFERROR(D47*VLOOKUP("Cs-137",Isospec!$A$3:$R$31,3)*VLOOKUP("Cs-137",Isospec!$A$3:$R$31,6)*SSLcm_m,".")</f>
        <v>1.1999476713670288E-11</v>
      </c>
      <c r="O47" s="19">
        <f>IFERROR(E47*VLOOKUP("Cs-137",Isospec!$A$3:$R$31,3)*VLOOKUP("Cs-137",Isospec!$A$3:$R$31,6)*SSLgram,".")</f>
        <v>4.1488091094564793E-9</v>
      </c>
      <c r="P47" s="19">
        <f>IFERROR(F47*VLOOKUP("Cs-137",Isospec!$A$3:$R$31,3)*VLOOKUP("Cs-137",Isospec!$A$3:$R$31,6)*SSLgram,".")</f>
        <v>8.7181438238990479E-10</v>
      </c>
      <c r="Q47" s="21">
        <f>IFERROR(G47*VLOOKUP("Cs-137",Isospec!$A$3:$R$31,3)*VLOOKUP("Cs-137",Isospec!$A$3:$R$31,6)*SSLgram,".")</f>
        <v>7.2586879330685714E-10</v>
      </c>
      <c r="R47" s="94">
        <f t="shared" si="77"/>
        <v>230.19883441400358</v>
      </c>
    </row>
    <row r="48" spans="1:18">
      <c r="A48" s="31" t="s">
        <v>188</v>
      </c>
      <c r="B48" s="32">
        <v>1</v>
      </c>
      <c r="C48" s="70">
        <f>IFERROR(VLOOKUP("Cs-137",$A$4:$L$32,3)/$B48,0)</f>
        <v>624.252155473058</v>
      </c>
      <c r="D48" s="71">
        <f>IFERROR(VLOOKUP("Cs-137",$A$4:$L$32,4)/$B48,0)</f>
        <v>145.95563530312251</v>
      </c>
      <c r="E48" s="71">
        <f>IFERROR(VLOOKUP("Cs-137",$A$4:$L$32,5)/$B48,0)</f>
        <v>1092.7198460001825</v>
      </c>
      <c r="F48" s="71">
        <f>IFERROR(VLOOKUP("Cs-137",$A$4:$L$32,6)/$B48,0)</f>
        <v>609.30972669227287</v>
      </c>
      <c r="G48" s="71">
        <f>IFERROR(VLOOKUP("Cs-137",$A$4:$L$32,7)/$B48,0)</f>
        <v>454.41014611279076</v>
      </c>
      <c r="H48" s="70">
        <f>IFERROR(VLOOKUP("Cs-137",$A$4:$L$32,8)/$B48,0)</f>
        <v>23.097329752503168</v>
      </c>
      <c r="I48" s="71">
        <f>IFERROR(VLOOKUP("Cs-137",$A$4:$L$32,9)/$B48,0)</f>
        <v>5.4003585062155386</v>
      </c>
      <c r="J48" s="71">
        <f>IFERROR(VLOOKUP("Cs-137",$A$4:$L$32,10)/$B48,0)</f>
        <v>40.430634302006794</v>
      </c>
      <c r="K48" s="71">
        <f>IFERROR(VLOOKUP("Cs-137",$A$4:$L$32,11)/$B48,0)</f>
        <v>22.544459887614121</v>
      </c>
      <c r="L48" s="71">
        <f>IFERROR(VLOOKUP("Cs-137",$A$4:$L$32,12)/$B48,0)</f>
        <v>16.813175406173276</v>
      </c>
      <c r="M48" s="70">
        <f>IFERROR(VLOOKUP("Cs-137",$A$4:$R$32,13)/$B48,0)</f>
        <v>7.2239080936788249E-6</v>
      </c>
      <c r="N48" s="71">
        <f>IFERROR(VLOOKUP("Cs-137",$A$4:$R$32,14)/$B48,0)</f>
        <v>1.6890131430707844E-9</v>
      </c>
      <c r="O48" s="71">
        <f>IFERROR(VLOOKUP("Cs-137",$A$4:$R$32,15)/$B48,0)</f>
        <v>1.2645062849101982E-5</v>
      </c>
      <c r="P48" s="71">
        <f>IFERROR(VLOOKUP("Cs-137",$A$4:$R$32,16)/$B48,0)</f>
        <v>7.0509928201593715E-6</v>
      </c>
      <c r="Q48" s="71">
        <f>IFERROR(VLOOKUP("Cs-137",$A$4:$R$32,17)/$B48,0)</f>
        <v>5.2584794518913614E-6</v>
      </c>
      <c r="R48" s="95">
        <f t="shared" si="77"/>
        <v>32402.151037293195</v>
      </c>
    </row>
    <row r="49" spans="1:18">
      <c r="A49" s="31" t="s">
        <v>189</v>
      </c>
      <c r="B49" s="32">
        <v>0.94399</v>
      </c>
      <c r="C49" s="70">
        <f>IFERROR(VLOOKUP("Ba-137m",$A$4:$L$32,3)/$B49,0)</f>
        <v>0.11525420255241453</v>
      </c>
      <c r="D49" s="71">
        <f>IFERROR(VLOOKUP("Ba-137m",$A$4:$L$32,4)/$B49,0)</f>
        <v>1.0443512072583305</v>
      </c>
      <c r="E49" s="71">
        <f>IFERROR(VLOOKUP("Ba-137m",$A$4:$L$32,5)/$B49,0)</f>
        <v>0.35863593699211005</v>
      </c>
      <c r="F49" s="71">
        <f>IFERROR(VLOOKUP("Ba-137m",$A$4:$L$32,6)/$B49,0)</f>
        <v>7.5346931297364653E-2</v>
      </c>
      <c r="G49" s="71">
        <f>IFERROR(VLOOKUP("Ba-137m",$A$4:$L$32,7)/$B49,0)</f>
        <v>6.2734424352943796E-2</v>
      </c>
      <c r="H49" s="70">
        <f>IFERROR(VLOOKUP("Ba-137m",$A$4:$L$32,8)/$B49,0)</f>
        <v>4.2644054944393425E-3</v>
      </c>
      <c r="I49" s="71">
        <f>IFERROR(VLOOKUP("Ba-137m",$A$4:$L$32,9)/$B49,0)</f>
        <v>3.8640994668558269E-2</v>
      </c>
      <c r="J49" s="71">
        <f>IFERROR(VLOOKUP("Ba-137m",$A$4:$L$32,10)/$B49,0)</f>
        <v>1.3269529668708086E-2</v>
      </c>
      <c r="K49" s="71">
        <f>IFERROR(VLOOKUP("Ba-137m",$A$4:$L$32,11)/$B49,0)</f>
        <v>2.787836458002495E-3</v>
      </c>
      <c r="L49" s="71">
        <f>IFERROR(VLOOKUP("Ba-137m",$A$4:$L$32,12)/$B49,0)</f>
        <v>2.3211737010589229E-3</v>
      </c>
      <c r="M49" s="70">
        <f>IFERROR(VLOOKUP("Ba-137m",$A$4:$R$32,13)/$B49,0)</f>
        <v>2.1466472389063599E-16</v>
      </c>
      <c r="N49" s="71">
        <f>IFERROR(VLOOKUP("Ba-137m",$A$4:$R$32,14)/$B49,0)</f>
        <v>1.9451382993952728E-18</v>
      </c>
      <c r="O49" s="71">
        <f>IFERROR(VLOOKUP("Ba-137m",$A$4:$R$32,15)/$B49,0)</f>
        <v>6.6797116883143103E-16</v>
      </c>
      <c r="P49" s="71">
        <f>IFERROR(VLOOKUP("Ba-137m",$A$4:$R$32,16)/$B49,0)</f>
        <v>1.403361252323953E-16</v>
      </c>
      <c r="Q49" s="71">
        <f>IFERROR(VLOOKUP("Ba-137m",$A$4:$R$32,17)/$B49,0)</f>
        <v>1.1684491831036096E-16</v>
      </c>
      <c r="R49" s="95">
        <f t="shared" si="77"/>
        <v>231.84596801134938</v>
      </c>
    </row>
    <row r="50" spans="1:18">
      <c r="A50" s="30" t="s">
        <v>27</v>
      </c>
      <c r="B50" s="30" t="s">
        <v>59</v>
      </c>
      <c r="C50" s="76">
        <f t="shared" ref="C50:L50" si="83">IFERROR(1/SUM(1/C51,1/C52,1/C56,1/C57,1/C55,1/C58,1/C59,1/C60,1/C61,1/C63,1/C62,1/C64),0)</f>
        <v>3.0639381220739413E-2</v>
      </c>
      <c r="D50" s="77">
        <f t="shared" si="83"/>
        <v>0.24449401688502109</v>
      </c>
      <c r="E50" s="77">
        <f t="shared" si="83"/>
        <v>8.9141988906746725E-2</v>
      </c>
      <c r="F50" s="77">
        <f t="shared" si="83"/>
        <v>2.2167876575393052E-2</v>
      </c>
      <c r="G50" s="77">
        <f t="shared" si="83"/>
        <v>1.7777493756599816E-2</v>
      </c>
      <c r="H50" s="76">
        <f t="shared" si="83"/>
        <v>1.1336571051673596E-3</v>
      </c>
      <c r="I50" s="77">
        <f t="shared" si="83"/>
        <v>9.0462786247457877E-3</v>
      </c>
      <c r="J50" s="77">
        <f t="shared" si="83"/>
        <v>3.2982535895496328E-3</v>
      </c>
      <c r="K50" s="77">
        <f t="shared" si="83"/>
        <v>8.2021143328954384E-4</v>
      </c>
      <c r="L50" s="77">
        <f t="shared" si="83"/>
        <v>6.5776726899419375E-4</v>
      </c>
      <c r="M50" s="20">
        <f>IFERROR(C50*VLOOKUP("Ra-226",Isospec!$A$3:$R$31,3)*VLOOKUP("Ra-226",Isospec!$A$3:$R$31,6)*SSLgram,".")</f>
        <v>3.1021760698374239E-8</v>
      </c>
      <c r="N50" s="19">
        <f>IFERROR(D50*VLOOKUP("Ra-226",Isospec!$A$3:$R$31,3)*VLOOKUP("Ra-226",Isospec!$A$3:$R$31,6)*SSLcm_m,".")</f>
        <v>2.4754530221574621E-10</v>
      </c>
      <c r="O50" s="19">
        <f>IFERROR(E50*VLOOKUP("Ra-226",Isospec!$A$3:$R$31,3)*VLOOKUP("Ra-226",Isospec!$A$3:$R$31,6)*SSLgram,".")</f>
        <v>9.0254480928302916E-8</v>
      </c>
      <c r="P50" s="19">
        <f>IFERROR(F50*VLOOKUP("Ra-226",Isospec!$A$3:$R$31,3)*VLOOKUP("Ra-226",Isospec!$A$3:$R$31,6)*SSLgram,".")</f>
        <v>2.2444531675053958E-8</v>
      </c>
      <c r="Q50" s="21">
        <f>IFERROR(G50*VLOOKUP("Ra-226",Isospec!$A$3:$R$31,3)*VLOOKUP("Ra-226",Isospec!$A$3:$R$31,6)*SSLgram,".")</f>
        <v>1.799935687868218E-8</v>
      </c>
      <c r="R50" s="94">
        <f t="shared" si="77"/>
        <v>54.277671748474688</v>
      </c>
    </row>
    <row r="51" spans="1:18">
      <c r="A51" s="31" t="s">
        <v>190</v>
      </c>
      <c r="B51" s="32">
        <v>1</v>
      </c>
      <c r="C51" s="70">
        <f>IFERROR(VLOOKUP("Ra-226",$A$4:$L$32,3)/$B51,0)</f>
        <v>17.931512918093496</v>
      </c>
      <c r="D51" s="71">
        <f>IFERROR(VLOOKUP("Ra-226",$A$4:$L$32,4)/$B51,0)</f>
        <v>74.411231032900574</v>
      </c>
      <c r="E51" s="71">
        <f>IFERROR(VLOOKUP("Ra-226",$A$4:$L$32,5)/$B51,0)</f>
        <v>59.153272210194196</v>
      </c>
      <c r="F51" s="71">
        <f>IFERROR(VLOOKUP("Ra-226",$A$4:$L$32,6)/$B51,0)</f>
        <v>20.798561945437115</v>
      </c>
      <c r="G51" s="71">
        <f>IFERROR(VLOOKUP("Ra-226",$A$4:$L$32,7)/$B51,0)</f>
        <v>16.734194129294014</v>
      </c>
      <c r="H51" s="70">
        <f>IFERROR(VLOOKUP("Ra-226",$A$4:$L$32,8)/$B51,0)</f>
        <v>0.66346597796946005</v>
      </c>
      <c r="I51" s="71">
        <f>IFERROR(VLOOKUP("Ra-226",$A$4:$L$32,9)/$B51,0)</f>
        <v>2.7532155482173239</v>
      </c>
      <c r="J51" s="71">
        <f>IFERROR(VLOOKUP("Ra-226",$A$4:$L$32,10)/$B51,0)</f>
        <v>2.1886710717771876</v>
      </c>
      <c r="K51" s="71">
        <f>IFERROR(VLOOKUP("Ra-226",$A$4:$L$32,11)/$B51,0)</f>
        <v>0.76954679198117404</v>
      </c>
      <c r="L51" s="71">
        <f>IFERROR(VLOOKUP("Ra-226",$A$4:$L$32,12)/$B51,0)</f>
        <v>0.61916518278387911</v>
      </c>
      <c r="M51" s="70">
        <f>IFERROR(VLOOKUP("Ra-226",$A$4:$R$32,13)/$B51,0)</f>
        <v>1.8155298199311301E-5</v>
      </c>
      <c r="N51" s="71">
        <f>IFERROR(VLOOKUP("Ra-226",$A$4:$R$32,14)/$B51,0)</f>
        <v>7.5339883196191185E-8</v>
      </c>
      <c r="O51" s="71">
        <f>IFERROR(VLOOKUP("Ra-226",$A$4:$R$32,15)/$B51,0)</f>
        <v>5.989150504737742E-5</v>
      </c>
      <c r="P51" s="71">
        <f>IFERROR(VLOOKUP("Ra-226",$A$4:$R$32,16)/$B51,0)</f>
        <v>2.1058127998516168E-5</v>
      </c>
      <c r="Q51" s="71">
        <f>IFERROR(VLOOKUP("Ra-226",$A$4:$R$32,17)/$B51,0)</f>
        <v>1.6943036872027601E-5</v>
      </c>
      <c r="R51" s="95">
        <f t="shared" si="77"/>
        <v>16519.293289303929</v>
      </c>
    </row>
    <row r="52" spans="1:18">
      <c r="A52" s="31" t="s">
        <v>191</v>
      </c>
      <c r="B52" s="32">
        <v>1</v>
      </c>
      <c r="C52" s="70">
        <f>IFERROR(VLOOKUP("Rn-222",$A$4:$L$32,3)/$B52,0)</f>
        <v>210430.87707136403</v>
      </c>
      <c r="D52" s="71">
        <f>IFERROR(VLOOKUP("Rn-222",$A$4:$L$32,4)/$B52,0)</f>
        <v>1893787.8359788558</v>
      </c>
      <c r="E52" s="71">
        <f>IFERROR(VLOOKUP("Rn-222",$A$4:$L$32,5)/$B52,0)</f>
        <v>724668.91648749355</v>
      </c>
      <c r="F52" s="71">
        <f>IFERROR(VLOOKUP("Rn-222",$A$4:$L$32,6)/$B52,0)</f>
        <v>185567.48886982043</v>
      </c>
      <c r="G52" s="71">
        <f>IFERROR(VLOOKUP("Rn-222",$A$4:$L$32,7)/$B52,0)</f>
        <v>122511.74622741698</v>
      </c>
      <c r="H52" s="70">
        <f>IFERROR(VLOOKUP("Rn-222",$A$4:$L$32,8)/$B52,0)</f>
        <v>7785.942451640477</v>
      </c>
      <c r="I52" s="71">
        <f>IFERROR(VLOOKUP("Rn-222",$A$4:$L$32,9)/$B52,0)</f>
        <v>70070.149931217733</v>
      </c>
      <c r="J52" s="71">
        <f>IFERROR(VLOOKUP("Rn-222",$A$4:$L$32,10)/$B52,0)</f>
        <v>26812.749910037288</v>
      </c>
      <c r="K52" s="71">
        <f>IFERROR(VLOOKUP("Rn-222",$A$4:$L$32,11)/$B52,0)</f>
        <v>6865.9970881833633</v>
      </c>
      <c r="L52" s="71">
        <f>IFERROR(VLOOKUP("Rn-222",$A$4:$L$32,12)/$B52,0)</f>
        <v>4532.9346104144333</v>
      </c>
      <c r="M52" s="70">
        <f>IFERROR(VLOOKUP("Rn-222",$A$4:$R$32,13)/$B52,0)</f>
        <v>1.3702149484729176E-6</v>
      </c>
      <c r="N52" s="71">
        <f>IFERROR(VLOOKUP("Rn-222",$A$4:$R$32,14)/$B52,0)</f>
        <v>1.2331348128223558E-8</v>
      </c>
      <c r="O52" s="71">
        <f>IFERROR(VLOOKUP("Rn-222",$A$4:$R$32,15)/$B52,0)</f>
        <v>4.7186619943046348E-6</v>
      </c>
      <c r="P52" s="71">
        <f>IFERROR(VLOOKUP("Rn-222",$A$4:$R$32,16)/$B52,0)</f>
        <v>1.2083176705754037E-6</v>
      </c>
      <c r="Q52" s="71">
        <f>IFERROR(VLOOKUP("Rn-222",$A$4:$R$32,17)/$B52,0)</f>
        <v>7.9773191263845726E-7</v>
      </c>
      <c r="R52" s="95">
        <f t="shared" si="77"/>
        <v>420420899.58730602</v>
      </c>
    </row>
    <row r="53" spans="1:18">
      <c r="A53" s="31" t="s">
        <v>192</v>
      </c>
      <c r="B53" s="32">
        <v>1</v>
      </c>
      <c r="C53" s="70">
        <f>IFERROR(VLOOKUP("Po-218",$A$4:$L$32,3)/$B53,0)</f>
        <v>0</v>
      </c>
      <c r="D53" s="71">
        <f>IFERROR(VLOOKUP("Po-218",$A$4:$L$32,4)/$B53,0)</f>
        <v>0</v>
      </c>
      <c r="E53" s="71">
        <f>IFERROR(VLOOKUP("Po-218",$A$4:$L$32,5)/$B53,0)</f>
        <v>0</v>
      </c>
      <c r="F53" s="71">
        <f>IFERROR(VLOOKUP("Po-218",$A$4:$L$32,6)/$B53,0)</f>
        <v>0</v>
      </c>
      <c r="G53" s="71">
        <f>IFERROR(VLOOKUP("Po-218",$A$4:$L$32,7)/$B53,0)</f>
        <v>0</v>
      </c>
      <c r="H53" s="70">
        <f>IFERROR(VLOOKUP("Po-218",$A$4:$L$32,8)/$B53,0)</f>
        <v>0</v>
      </c>
      <c r="I53" s="71">
        <f>IFERROR(VLOOKUP("Po-218",$A$4:$L$32,9)/$B53,0)</f>
        <v>0</v>
      </c>
      <c r="J53" s="71">
        <f>IFERROR(VLOOKUP("Po-218",$A$4:$L$32,10)/$B53,0)</f>
        <v>0</v>
      </c>
      <c r="K53" s="71">
        <f>IFERROR(VLOOKUP("Po-218",$A$4:$L$32,11)/$B53,0)</f>
        <v>0</v>
      </c>
      <c r="L53" s="71">
        <f>IFERROR(VLOOKUP("Po-218",$A$4:$L$32,12)/$B53,0)</f>
        <v>0</v>
      </c>
      <c r="M53" s="70">
        <f>IFERROR(VLOOKUP("Po-218",$A$4:$R$32,13)/$B53,0)</f>
        <v>0</v>
      </c>
      <c r="N53" s="71">
        <f>IFERROR(VLOOKUP("Po-218",$A$4:$R$32,14)/$B53,0)</f>
        <v>0</v>
      </c>
      <c r="O53" s="71">
        <f>IFERROR(VLOOKUP("Po-218",$A$4:$R$32,15)/$B53,0)</f>
        <v>0</v>
      </c>
      <c r="P53" s="71">
        <f>IFERROR(VLOOKUP("Po-218",$A$4:$R$32,16)/$B53,0)</f>
        <v>0</v>
      </c>
      <c r="Q53" s="71">
        <f>IFERROR(VLOOKUP("Po-218",$A$4:$R$32,17)/$B53,0)</f>
        <v>0</v>
      </c>
      <c r="R53" s="95">
        <f t="shared" si="77"/>
        <v>0</v>
      </c>
    </row>
    <row r="54" spans="1:18">
      <c r="A54" s="31" t="s">
        <v>194</v>
      </c>
      <c r="B54" s="32">
        <v>2.0000000000000001E-4</v>
      </c>
      <c r="C54" s="70">
        <f>IFERROR(VLOOKUP("At-218",$A$4:$L$32,3)/$B54,0)</f>
        <v>0</v>
      </c>
      <c r="D54" s="71">
        <f>IFERROR(VLOOKUP("At-218",$A$4:$L$32,4)/$B54,0)</f>
        <v>0</v>
      </c>
      <c r="E54" s="71">
        <f>IFERROR(VLOOKUP("At-218",$A$4:$L$32,5)/$B54,0)</f>
        <v>0</v>
      </c>
      <c r="F54" s="71">
        <f>IFERROR(VLOOKUP("At-218",$A$4:$L$32,6)/$B54,0)</f>
        <v>0</v>
      </c>
      <c r="G54" s="71">
        <f>IFERROR(VLOOKUP("At-218",$A$4:$L$32,7)/$B54,0)</f>
        <v>0</v>
      </c>
      <c r="H54" s="70">
        <f>IFERROR(VLOOKUP("At-218",$A$4:$L$32,8)/$B54,0)</f>
        <v>0</v>
      </c>
      <c r="I54" s="71">
        <f>IFERROR(VLOOKUP("At-218",$A$4:$L$32,9)/$B54,0)</f>
        <v>0</v>
      </c>
      <c r="J54" s="71">
        <f>IFERROR(VLOOKUP("At-218",$A$4:$L$32,10)/$B54,0)</f>
        <v>0</v>
      </c>
      <c r="K54" s="71">
        <f>IFERROR(VLOOKUP("At-218",$A$4:$L$32,11)/$B54,0)</f>
        <v>0</v>
      </c>
      <c r="L54" s="71">
        <f>IFERROR(VLOOKUP("At-218",$A$4:$L$32,12)/$B54,0)</f>
        <v>0</v>
      </c>
      <c r="M54" s="70">
        <f>IFERROR(VLOOKUP("At-218",$A$4:$R$32,13)/$B54,0)</f>
        <v>0</v>
      </c>
      <c r="N54" s="71">
        <f>IFERROR(VLOOKUP("At-218",$A$4:$R$32,14)/$B54,0)</f>
        <v>0</v>
      </c>
      <c r="O54" s="71">
        <f>IFERROR(VLOOKUP("At-218",$A$4:$R$32,15)/$B54,0)</f>
        <v>0</v>
      </c>
      <c r="P54" s="71">
        <f>IFERROR(VLOOKUP("At-218",$A$4:$R$32,16)/$B54,0)</f>
        <v>0</v>
      </c>
      <c r="Q54" s="71">
        <f>IFERROR(VLOOKUP("At-218",$A$4:$R$32,17)/$B54,0)</f>
        <v>0</v>
      </c>
      <c r="R54" s="95">
        <f t="shared" si="77"/>
        <v>0</v>
      </c>
    </row>
    <row r="55" spans="1:18">
      <c r="A55" s="31" t="s">
        <v>196</v>
      </c>
      <c r="B55" s="32">
        <v>1.9999999999999999E-7</v>
      </c>
      <c r="C55" s="70">
        <f>IFERROR(VLOOKUP("Rn-218",$A$4:$L$32,3)/$B55,0)</f>
        <v>321952461247.13306</v>
      </c>
      <c r="D55" s="71">
        <f>IFERROR(VLOOKUP("Rn-218",$A$4:$L$32,4)/$B55,0)</f>
        <v>3090428478916.1436</v>
      </c>
      <c r="E55" s="71">
        <f>IFERROR(VLOOKUP("Rn-218",$A$4:$L$32,5)/$B55,0)</f>
        <v>1099492002112.9769</v>
      </c>
      <c r="F55" s="71">
        <f>IFERROR(VLOOKUP("Rn-218",$A$4:$L$32,6)/$B55,0)</f>
        <v>245984136237.01746</v>
      </c>
      <c r="G55" s="71">
        <f>IFERROR(VLOOKUP("Rn-218",$A$4:$L$32,7)/$B55,0)</f>
        <v>166297495325.54761</v>
      </c>
      <c r="H55" s="70">
        <f>IFERROR(VLOOKUP("Rn-218",$A$4:$L$32,8)/$B55,0)</f>
        <v>11912241066.143936</v>
      </c>
      <c r="I55" s="71">
        <f>IFERROR(VLOOKUP("Rn-218",$A$4:$L$32,9)/$B55,0)</f>
        <v>114345853719.89743</v>
      </c>
      <c r="J55" s="71">
        <f>IFERROR(VLOOKUP("Rn-218",$A$4:$L$32,10)/$B55,0)</f>
        <v>40681204078.180183</v>
      </c>
      <c r="K55" s="71">
        <f>IFERROR(VLOOKUP("Rn-218",$A$4:$L$32,11)/$B55,0)</f>
        <v>9101413040.7696552</v>
      </c>
      <c r="L55" s="71">
        <f>IFERROR(VLOOKUP("Rn-218",$A$4:$L$32,12)/$B55,0)</f>
        <v>6153007327.0452681</v>
      </c>
      <c r="M55" s="70">
        <f>IFERROR(VLOOKUP("Rn-218",$A$4:$R$32,13)/$B55,0)</f>
        <v>2.1810604966019773E-7</v>
      </c>
      <c r="N55" s="71">
        <f>IFERROR(VLOOKUP("Rn-218",$A$4:$R$32,14)/$B55,0)</f>
        <v>2.0936045796412625E-9</v>
      </c>
      <c r="O55" s="71">
        <f>IFERROR(VLOOKUP("Rn-218",$A$4:$R$32,15)/$B55,0)</f>
        <v>7.4484865338478159E-7</v>
      </c>
      <c r="P55" s="71">
        <f>IFERROR(VLOOKUP("Rn-218",$A$4:$R$32,16)/$B55,0)</f>
        <v>1.6664146012708738E-7</v>
      </c>
      <c r="Q55" s="71">
        <f>IFERROR(VLOOKUP("Rn-218",$A$4:$R$32,17)/$B55,0)</f>
        <v>1.1265790493832843E-7</v>
      </c>
      <c r="R55" s="95">
        <f>IF(D55&lt;&gt;".",D55*2.22*100,".")</f>
        <v>686075122319383.88</v>
      </c>
    </row>
    <row r="56" spans="1:18">
      <c r="A56" s="31" t="s">
        <v>193</v>
      </c>
      <c r="B56" s="32">
        <v>0.99980000000000002</v>
      </c>
      <c r="C56" s="70">
        <f>IFERROR(VLOOKUP("Pb-214",$A$4:$L$32,3)/$B56,0)</f>
        <v>0.35658036500560952</v>
      </c>
      <c r="D56" s="71">
        <f>IFERROR(VLOOKUP("Pb-214",$A$4:$L$32,4)/$B56,0)</f>
        <v>1.5611277230652054</v>
      </c>
      <c r="E56" s="71">
        <f>IFERROR(VLOOKUP("Pb-214",$A$4:$L$32,5)/$B56,0)</f>
        <v>0.54444962653893658</v>
      </c>
      <c r="F56" s="71">
        <f>IFERROR(VLOOKUP("Pb-214",$A$4:$L$32,6)/$B56,0)</f>
        <v>0.17412745366119251</v>
      </c>
      <c r="G56" s="71">
        <f>IFERROR(VLOOKUP("Pb-214",$A$4:$L$32,7)/$B56,0)</f>
        <v>0.25149733342837738</v>
      </c>
      <c r="H56" s="70">
        <f>IFERROR(VLOOKUP("Pb-214",$A$4:$L$32,8)/$B56,0)</f>
        <v>1.3193473505207566E-2</v>
      </c>
      <c r="I56" s="71">
        <f>IFERROR(VLOOKUP("Pb-214",$A$4:$L$32,9)/$B56,0)</f>
        <v>5.7761725753412659E-2</v>
      </c>
      <c r="J56" s="71">
        <f>IFERROR(VLOOKUP("Pb-214",$A$4:$L$32,10)/$B56,0)</f>
        <v>2.0144636181940675E-2</v>
      </c>
      <c r="K56" s="71">
        <f>IFERROR(VLOOKUP("Pb-214",$A$4:$L$32,11)/$B56,0)</f>
        <v>6.4427157854641294E-3</v>
      </c>
      <c r="L56" s="71">
        <f>IFERROR(VLOOKUP("Pb-214",$A$4:$L$32,12)/$B56,0)</f>
        <v>9.3054013368499729E-3</v>
      </c>
      <c r="M56" s="70">
        <f>IFERROR(VLOOKUP("Pb-214",$A$4:$R$32,13)/$B56,0)</f>
        <v>1.0894534220442217E-14</v>
      </c>
      <c r="N56" s="71">
        <f>IFERROR(VLOOKUP("Pb-214",$A$4:$R$32,14)/$B56,0)</f>
        <v>4.7696847809181426E-17</v>
      </c>
      <c r="O56" s="71">
        <f>IFERROR(VLOOKUP("Pb-214",$A$4:$R$32,15)/$B56,0)</f>
        <v>1.6634469168099365E-14</v>
      </c>
      <c r="P56" s="71">
        <f>IFERROR(VLOOKUP("Pb-214",$A$4:$R$32,16)/$B56,0)</f>
        <v>5.3200840225750656E-15</v>
      </c>
      <c r="Q56" s="71">
        <f>IFERROR(VLOOKUP("Pb-214",$A$4:$R$32,17)/$B56,0)</f>
        <v>7.68395170985458E-15</v>
      </c>
      <c r="R56" s="95">
        <f>IF(D56&lt;&gt;".",D56*2.22*100,".")</f>
        <v>346.57035452047563</v>
      </c>
    </row>
    <row r="57" spans="1:18">
      <c r="A57" s="31" t="s">
        <v>195</v>
      </c>
      <c r="B57" s="32">
        <v>0.99999979999999999</v>
      </c>
      <c r="C57" s="70">
        <f>IFERROR(VLOOKUP("Bi-214",$A$4:$L$32,3)/$B57,0)</f>
        <v>3.3614844361177759E-2</v>
      </c>
      <c r="D57" s="71">
        <f>IFERROR(VLOOKUP("Bi-214",$A$4:$L$32,4)/$B57,0)</f>
        <v>0.29156347381736553</v>
      </c>
      <c r="E57" s="71">
        <f>IFERROR(VLOOKUP("Bi-214",$A$4:$L$32,5)/$B57,0)</f>
        <v>0.10703718962370214</v>
      </c>
      <c r="F57" s="71">
        <f>IFERROR(VLOOKUP("Bi-214",$A$4:$L$32,6)/$B57,0)</f>
        <v>2.5469660270678044E-2</v>
      </c>
      <c r="G57" s="71">
        <f>IFERROR(VLOOKUP("Bi-214",$A$4:$L$32,7)/$B57,0)</f>
        <v>1.9167206030348001E-2</v>
      </c>
      <c r="H57" s="70">
        <f>IFERROR(VLOOKUP("Bi-214",$A$4:$L$32,8)/$B57,0)</f>
        <v>1.2437492413635784E-3</v>
      </c>
      <c r="I57" s="71">
        <f>IFERROR(VLOOKUP("Bi-214",$A$4:$L$32,9)/$B57,0)</f>
        <v>1.0787848531242535E-2</v>
      </c>
      <c r="J57" s="71">
        <f>IFERROR(VLOOKUP("Bi-214",$A$4:$L$32,10)/$B57,0)</f>
        <v>3.9603760160769833E-3</v>
      </c>
      <c r="K57" s="71">
        <f>IFERROR(VLOOKUP("Bi-214",$A$4:$L$32,11)/$B57,0)</f>
        <v>9.4237743001508853E-4</v>
      </c>
      <c r="L57" s="71">
        <f>IFERROR(VLOOKUP("Bi-214",$A$4:$L$32,12)/$B57,0)</f>
        <v>7.0918662312287675E-4</v>
      </c>
      <c r="M57" s="70">
        <f>IFERROR(VLOOKUP("Bi-214",$A$4:$R$32,13)/$B57,0)</f>
        <v>7.6260672250805425E-16</v>
      </c>
      <c r="N57" s="71">
        <f>IFERROR(VLOOKUP("Bi-214",$A$4:$R$32,14)/$B57,0)</f>
        <v>6.614585591469138E-18</v>
      </c>
      <c r="O57" s="71">
        <f>IFERROR(VLOOKUP("Bi-214",$A$4:$R$32,15)/$B57,0)</f>
        <v>2.4283105252058538E-15</v>
      </c>
      <c r="P57" s="71">
        <f>IFERROR(VLOOKUP("Bi-214",$A$4:$R$32,16)/$B57,0)</f>
        <v>5.7782014200986925E-16</v>
      </c>
      <c r="Q57" s="71">
        <f>IFERROR(VLOOKUP("Bi-214",$A$4:$R$32,17)/$B57,0)</f>
        <v>4.3483884718864621E-16</v>
      </c>
      <c r="R57" s="95">
        <f t="shared" si="77"/>
        <v>64.727091187455159</v>
      </c>
    </row>
    <row r="58" spans="1:18">
      <c r="A58" s="31" t="s">
        <v>197</v>
      </c>
      <c r="B58" s="32">
        <v>0.99979000004200003</v>
      </c>
      <c r="C58" s="70">
        <f>IFERROR(VLOOKUP("Po-214",$A$4:$L$32,3)/$B58,0)</f>
        <v>8720427.110184852</v>
      </c>
      <c r="D58" s="71">
        <f>IFERROR(VLOOKUP("Po-214",$A$4:$L$32,4)/$B58,0)</f>
        <v>68580289.13217634</v>
      </c>
      <c r="E58" s="71">
        <f>IFERROR(VLOOKUP("Po-214",$A$4:$L$32,5)/$B58,0)</f>
        <v>22839446.425051168</v>
      </c>
      <c r="F58" s="71">
        <f>IFERROR(VLOOKUP("Po-214",$A$4:$L$32,6)/$B58,0)</f>
        <v>5212567.2451225268</v>
      </c>
      <c r="G58" s="71">
        <f>IFERROR(VLOOKUP("Po-214",$A$4:$L$32,7)/$B58,0)</f>
        <v>4916000.9235135401</v>
      </c>
      <c r="H58" s="70">
        <f>IFERROR(VLOOKUP("Po-214",$A$4:$L$32,8)/$B58,0)</f>
        <v>322655.80307683989</v>
      </c>
      <c r="I58" s="71">
        <f>IFERROR(VLOOKUP("Po-214",$A$4:$L$32,9)/$B58,0)</f>
        <v>2537470.6978905271</v>
      </c>
      <c r="J58" s="71">
        <f>IFERROR(VLOOKUP("Po-214",$A$4:$L$32,10)/$B58,0)</f>
        <v>845059.517726894</v>
      </c>
      <c r="K58" s="71">
        <f>IFERROR(VLOOKUP("Po-214",$A$4:$L$32,11)/$B58,0)</f>
        <v>192864.98806953369</v>
      </c>
      <c r="L58" s="71">
        <f>IFERROR(VLOOKUP("Po-214",$A$4:$L$32,12)/$B58,0)</f>
        <v>181892.03417000116</v>
      </c>
      <c r="M58" s="70">
        <f>IFERROR(VLOOKUP("Po-214",$A$4:$R$32,13)/$B58,0)</f>
        <v>2.7223284233341467E-14</v>
      </c>
      <c r="N58" s="71">
        <f>IFERROR(VLOOKUP("Po-214",$A$4:$R$32,14)/$B58,0)</f>
        <v>2.1409280534774173E-16</v>
      </c>
      <c r="O58" s="71">
        <f>IFERROR(VLOOKUP("Po-214",$A$4:$R$32,15)/$B58,0)</f>
        <v>7.1299803771671286E-14</v>
      </c>
      <c r="P58" s="71">
        <f>IFERROR(VLOOKUP("Po-214",$A$4:$R$32,16)/$B58,0)</f>
        <v>1.6272505681934224E-14</v>
      </c>
      <c r="Q58" s="71">
        <f>IFERROR(VLOOKUP("Po-214",$A$4:$R$32,17)/$B58,0)</f>
        <v>1.5346689874384073E-14</v>
      </c>
      <c r="R58" s="95">
        <f t="shared" si="77"/>
        <v>15224824187.343147</v>
      </c>
    </row>
    <row r="59" spans="1:18">
      <c r="A59" s="31" t="s">
        <v>198</v>
      </c>
      <c r="B59" s="32">
        <v>2.0999995799999999E-4</v>
      </c>
      <c r="C59" s="70">
        <f>IFERROR(VLOOKUP("Tl-210",$A$4:$L$32,3)/$B59,0)</f>
        <v>40.560354123009006</v>
      </c>
      <c r="D59" s="71">
        <f>IFERROR(VLOOKUP("Tl-210",$A$4:$L$32,4)/$B59,0)</f>
        <v>266.65186659111737</v>
      </c>
      <c r="E59" s="71">
        <f>IFERROR(VLOOKUP("Tl-210",$A$4:$L$32,5)/$B59,0)</f>
        <v>91.08037982983511</v>
      </c>
      <c r="F59" s="71">
        <f>IFERROR(VLOOKUP("Tl-210",$A$4:$L$32,6)/$B59,0)</f>
        <v>24.030459715601033</v>
      </c>
      <c r="G59" s="71">
        <f>IFERROR(VLOOKUP("Tl-210",$A$4:$L$32,7)/$B59,0)</f>
        <v>24.406539920390596</v>
      </c>
      <c r="H59" s="70">
        <f>IFERROR(VLOOKUP("Tl-210",$A$4:$L$32,8)/$B59,0)</f>
        <v>1.5007331025513349</v>
      </c>
      <c r="I59" s="71">
        <f>IFERROR(VLOOKUP("Tl-210",$A$4:$L$32,9)/$B59,0)</f>
        <v>9.8661190638713521</v>
      </c>
      <c r="J59" s="71">
        <f>IFERROR(VLOOKUP("Tl-210",$A$4:$L$32,10)/$B59,0)</f>
        <v>3.3699740537039022</v>
      </c>
      <c r="K59" s="71">
        <f>IFERROR(VLOOKUP("Tl-210",$A$4:$L$32,11)/$B59,0)</f>
        <v>0.88912700947723911</v>
      </c>
      <c r="L59" s="71">
        <f>IFERROR(VLOOKUP("Tl-210",$A$4:$L$32,12)/$B59,0)</f>
        <v>0.90304197705445299</v>
      </c>
      <c r="M59" s="70">
        <f>IFERROR(VLOOKUP("Tl-210",$A$4:$R$32,13)/$B59,0)</f>
        <v>5.8988460219991656E-14</v>
      </c>
      <c r="N59" s="71">
        <f>IFERROR(VLOOKUP("Tl-210",$A$4:$R$32,14)/$B59,0)</f>
        <v>3.8780191556744102E-16</v>
      </c>
      <c r="O59" s="71">
        <f>IFERROR(VLOOKUP("Tl-210",$A$4:$R$32,15)/$B59,0)</f>
        <v>1.3246164829133348E-13</v>
      </c>
      <c r="P59" s="71">
        <f>IFERROR(VLOOKUP("Tl-210",$A$4:$R$32,16)/$B59,0)</f>
        <v>3.4948408307848451E-14</v>
      </c>
      <c r="Q59" s="71">
        <f>IFERROR(VLOOKUP("Tl-210",$A$4:$R$32,17)/$B59,0)</f>
        <v>3.5495356002941943E-14</v>
      </c>
      <c r="R59" s="95">
        <f t="shared" si="77"/>
        <v>59196.714383228064</v>
      </c>
    </row>
    <row r="60" spans="1:18">
      <c r="A60" s="31" t="s">
        <v>199</v>
      </c>
      <c r="B60" s="32">
        <v>1</v>
      </c>
      <c r="C60" s="70">
        <f>IFERROR(VLOOKUP("Pb-210",$A$4:$L$32,3)/$B60,0)</f>
        <v>242.19965520594388</v>
      </c>
      <c r="D60" s="71">
        <f>IFERROR(VLOOKUP("Pb-210",$A$4:$L$32,4)/$B60,0)</f>
        <v>393.31929835197246</v>
      </c>
      <c r="E60" s="71">
        <f>IFERROR(VLOOKUP("Pb-210",$A$4:$L$32,5)/$B60,0)</f>
        <v>91.679770607363267</v>
      </c>
      <c r="F60" s="71">
        <f>IFERROR(VLOOKUP("Pb-210",$A$4:$L$32,6)/$B60,0)</f>
        <v>65.360431359561133</v>
      </c>
      <c r="G60" s="71">
        <f>IFERROR(VLOOKUP("Pb-210",$A$4:$L$32,7)/$B60,0)</f>
        <v>653.77168396931495</v>
      </c>
      <c r="H60" s="70">
        <f>IFERROR(VLOOKUP("Pb-210",$A$4:$L$32,8)/$B60,0)</f>
        <v>8.9613872426199332</v>
      </c>
      <c r="I60" s="71">
        <f>IFERROR(VLOOKUP("Pb-210",$A$4:$L$32,9)/$B60,0)</f>
        <v>14.552814039022996</v>
      </c>
      <c r="J60" s="71">
        <f>IFERROR(VLOOKUP("Pb-210",$A$4:$L$32,10)/$B60,0)</f>
        <v>3.3921515124724442</v>
      </c>
      <c r="K60" s="71">
        <f>IFERROR(VLOOKUP("Pb-210",$A$4:$L$32,11)/$B60,0)</f>
        <v>2.4183359603037644</v>
      </c>
      <c r="L60" s="71">
        <f>IFERROR(VLOOKUP("Pb-210",$A$4:$L$32,12)/$B60,0)</f>
        <v>24.189552306864677</v>
      </c>
      <c r="M60" s="70">
        <f>IFERROR(VLOOKUP("Pb-210",$A$4:$R$32,13)/$B60,0)</f>
        <v>3.1615774191963082E-6</v>
      </c>
      <c r="N60" s="71">
        <f>IFERROR(VLOOKUP("Pb-210",$A$4:$R$32,14)/$B60,0)</f>
        <v>5.1342327929673084E-9</v>
      </c>
      <c r="O60" s="71">
        <f>IFERROR(VLOOKUP("Pb-210",$A$4:$R$32,15)/$B60,0)</f>
        <v>1.1967510536002769E-6</v>
      </c>
      <c r="P60" s="71">
        <f>IFERROR(VLOOKUP("Pb-210",$A$4:$R$32,16)/$B60,0)</f>
        <v>8.5318892679516721E-7</v>
      </c>
      <c r="Q60" s="71">
        <f>IFERROR(VLOOKUP("Pb-210",$A$4:$R$32,17)/$B60,0)</f>
        <v>8.5340740538618484E-6</v>
      </c>
      <c r="R60" s="95">
        <f t="shared" si="77"/>
        <v>87316.884234137906</v>
      </c>
    </row>
    <row r="61" spans="1:18">
      <c r="A61" s="31" t="s">
        <v>200</v>
      </c>
      <c r="B61" s="32">
        <v>1</v>
      </c>
      <c r="C61" s="70">
        <f>IFERROR(VLOOKUP("Bi-210",$A$4:$L$32,3)/$B61,0)</f>
        <v>59019805.436417058</v>
      </c>
      <c r="D61" s="71">
        <f>IFERROR(VLOOKUP("Bi-210",$A$4:$L$32,4)/$B61,0)</f>
        <v>9178478.1607635487</v>
      </c>
      <c r="E61" s="71">
        <f>IFERROR(VLOOKUP("Bi-210",$A$4:$L$32,5)/$B61,0)</f>
        <v>46180855.410676435</v>
      </c>
      <c r="F61" s="71">
        <f>IFERROR(VLOOKUP("Bi-210",$A$4:$L$32,6)/$B61,0)</f>
        <v>26245287.769591905</v>
      </c>
      <c r="G61" s="71">
        <f>IFERROR(VLOOKUP("Bi-210",$A$4:$L$32,7)/$B61,0)</f>
        <v>42599982.888785854</v>
      </c>
      <c r="H61" s="70">
        <f>IFERROR(VLOOKUP("Bi-210",$A$4:$L$32,8)/$B61,0)</f>
        <v>2183732.8011474335</v>
      </c>
      <c r="I61" s="71">
        <f>IFERROR(VLOOKUP("Bi-210",$A$4:$L$32,9)/$B61,0)</f>
        <v>339603.69194825162</v>
      </c>
      <c r="J61" s="71">
        <f>IFERROR(VLOOKUP("Bi-210",$A$4:$L$32,10)/$B61,0)</f>
        <v>1708691.6501950298</v>
      </c>
      <c r="K61" s="71">
        <f>IFERROR(VLOOKUP("Bi-210",$A$4:$L$32,11)/$B61,0)</f>
        <v>971075.64747490152</v>
      </c>
      <c r="L61" s="71">
        <f>IFERROR(VLOOKUP("Bi-210",$A$4:$L$32,12)/$B61,0)</f>
        <v>1576199.3668850781</v>
      </c>
      <c r="M61" s="70">
        <f>IFERROR(VLOOKUP("Bi-210",$A$4:$R$32,13)/$B61,0)</f>
        <v>4.7662842568716774E-4</v>
      </c>
      <c r="N61" s="71">
        <f>IFERROR(VLOOKUP("Bi-210",$A$4:$R$32,14)/$B61,0)</f>
        <v>7.4122975560835043E-8</v>
      </c>
      <c r="O61" s="71">
        <f>IFERROR(VLOOKUP("Bi-210",$A$4:$R$32,15)/$B61,0)</f>
        <v>3.7294444209902275E-4</v>
      </c>
      <c r="P61" s="71">
        <f>IFERROR(VLOOKUP("Bi-210",$A$4:$R$32,16)/$B61,0)</f>
        <v>2.1195004115700914E-4</v>
      </c>
      <c r="Q61" s="71">
        <f>IFERROR(VLOOKUP("Bi-210",$A$4:$R$32,17)/$B61,0)</f>
        <v>3.440262574307617E-4</v>
      </c>
      <c r="R61" s="95">
        <f t="shared" si="77"/>
        <v>2037622151.6895077</v>
      </c>
    </row>
    <row r="62" spans="1:18">
      <c r="A62" s="31" t="s">
        <v>202</v>
      </c>
      <c r="B62" s="32">
        <v>1</v>
      </c>
      <c r="C62" s="70">
        <f>IFERROR(VLOOKUP("Po-210",$A$4:$L$32,3)/$B62,0)</f>
        <v>638075595.19821131</v>
      </c>
      <c r="D62" s="71">
        <f>IFERROR(VLOOKUP("Po-210",$A$4:$L$32,4)/$B62,0)</f>
        <v>5035761230.5585461</v>
      </c>
      <c r="E62" s="71">
        <f>IFERROR(VLOOKUP("Po-210",$A$4:$L$32,5)/$B62,0)</f>
        <v>1676056129.786479</v>
      </c>
      <c r="F62" s="71">
        <f>IFERROR(VLOOKUP("Po-210",$A$4:$L$32,6)/$B62,0)</f>
        <v>381570864.4361347</v>
      </c>
      <c r="G62" s="71">
        <f>IFERROR(VLOOKUP("Po-210",$A$4:$L$32,7)/$B62,0)</f>
        <v>361866055.93601048</v>
      </c>
      <c r="H62" s="70">
        <f>IFERROR(VLOOKUP("Po-210",$A$4:$L$32,8)/$B62,0)</f>
        <v>23608797.022333842</v>
      </c>
      <c r="I62" s="71">
        <f>IFERROR(VLOOKUP("Po-210",$A$4:$L$32,9)/$B62,0)</f>
        <v>186323165.53066638</v>
      </c>
      <c r="J62" s="71">
        <f>IFERROR(VLOOKUP("Po-210",$A$4:$L$32,10)/$B62,0)</f>
        <v>62014076.802099787</v>
      </c>
      <c r="K62" s="71">
        <f>IFERROR(VLOOKUP("Po-210",$A$4:$L$32,11)/$B62,0)</f>
        <v>14118121.984136999</v>
      </c>
      <c r="L62" s="71">
        <f>IFERROR(VLOOKUP("Po-210",$A$4:$L$32,12)/$B62,0)</f>
        <v>13389044.069632402</v>
      </c>
      <c r="M62" s="70">
        <f>IFERROR(VLOOKUP("Po-210",$A$4:$R$32,13)/$B62,0)</f>
        <v>0.1422385669971353</v>
      </c>
      <c r="N62" s="71">
        <f>IFERROR(VLOOKUP("Po-210",$A$4:$R$32,14)/$B62,0)</f>
        <v>1.1225620703325502E-3</v>
      </c>
      <c r="O62" s="71">
        <f>IFERROR(VLOOKUP("Po-210",$A$4:$R$32,15)/$B62,0)</f>
        <v>0.37362316299456189</v>
      </c>
      <c r="P62" s="71">
        <f>IFERROR(VLOOKUP("Po-210",$A$4:$R$32,16)/$B62,0)</f>
        <v>8.505903277556684E-2</v>
      </c>
      <c r="Q62" s="71">
        <f>IFERROR(VLOOKUP("Po-210",$A$4:$R$32,17)/$B62,0)</f>
        <v>8.0666475302592203E-2</v>
      </c>
      <c r="R62" s="95">
        <f>IF(D62&lt;&gt;".",D62*2.22*100,".")</f>
        <v>1117938993183.9973</v>
      </c>
    </row>
    <row r="63" spans="1:18">
      <c r="A63" s="31" t="s">
        <v>201</v>
      </c>
      <c r="B63" s="34">
        <v>1.9000000000000001E-8</v>
      </c>
      <c r="C63" s="70">
        <f>IFERROR(VLOOKUP("Hg-206",$A$4:$L$32,3)/$B63,0)</f>
        <v>79752131.626043171</v>
      </c>
      <c r="D63" s="71">
        <f>IFERROR(VLOOKUP("Hg-206",$A$4:$L$32,4)/$B63,0)</f>
        <v>310045781.99316686</v>
      </c>
      <c r="E63" s="71">
        <f>IFERROR(VLOOKUP("Hg-206",$A$4:$L$32,5)/$B63,0)</f>
        <v>154778205.32621545</v>
      </c>
      <c r="F63" s="71">
        <f>IFERROR(VLOOKUP("Hg-206",$A$4:$L$32,6)/$B63,0)</f>
        <v>45379427.537129641</v>
      </c>
      <c r="G63" s="71">
        <f>IFERROR(VLOOKUP("Hg-206",$A$4:$L$32,7)/$B63,0)</f>
        <v>58179667.261995248</v>
      </c>
      <c r="H63" s="70">
        <f>IFERROR(VLOOKUP("Hg-206",$A$4:$L$32,8)/$B63,0)</f>
        <v>2950828.8701636004</v>
      </c>
      <c r="I63" s="71">
        <f>IFERROR(VLOOKUP("Hg-206",$A$4:$L$32,9)/$B63,0)</f>
        <v>11471693.933747185</v>
      </c>
      <c r="J63" s="71">
        <f>IFERROR(VLOOKUP("Hg-206",$A$4:$L$32,10)/$B63,0)</f>
        <v>5726793.5970699778</v>
      </c>
      <c r="K63" s="71">
        <f>IFERROR(VLOOKUP("Hg-206",$A$4:$L$32,11)/$B63,0)</f>
        <v>1679038.8188737982</v>
      </c>
      <c r="L63" s="71">
        <f>IFERROR(VLOOKUP("Hg-206",$A$4:$L$32,12)/$B63,0)</f>
        <v>2152647.6886938266</v>
      </c>
      <c r="M63" s="70">
        <f>IFERROR(VLOOKUP("Hg-206",$A$4:$R$32,13)/$B63,0)</f>
        <v>7.1329602474029991E-7</v>
      </c>
      <c r="N63" s="71">
        <f>IFERROR(VLOOKUP("Hg-206",$A$4:$R$32,14)/$B63,0)</f>
        <v>2.7730221032863946E-9</v>
      </c>
      <c r="O63" s="71">
        <f>IFERROR(VLOOKUP("Hg-206",$A$4:$R$32,15)/$B63,0)</f>
        <v>1.3843226046082919E-6</v>
      </c>
      <c r="P63" s="71">
        <f>IFERROR(VLOOKUP("Hg-206",$A$4:$R$32,16)/$B63,0)</f>
        <v>4.0586959379346465E-7</v>
      </c>
      <c r="Q63" s="71">
        <f>IFERROR(VLOOKUP("Hg-206",$A$4:$R$32,17)/$B63,0)</f>
        <v>5.2035380788672138E-7</v>
      </c>
      <c r="R63" s="95">
        <f t="shared" si="77"/>
        <v>68830163602.483047</v>
      </c>
    </row>
    <row r="64" spans="1:18">
      <c r="A64" s="31" t="s">
        <v>203</v>
      </c>
      <c r="B64" s="32">
        <v>1.339E-6</v>
      </c>
      <c r="C64" s="70">
        <f>IFERROR(VLOOKUP("Tl-206",$A$4:$L$32,3)/$B64,0)</f>
        <v>18249962313.2612</v>
      </c>
      <c r="D64" s="71">
        <f>IFERROR(VLOOKUP("Tl-206",$A$4:$L$32,4)/$B64,0)</f>
        <v>3320237055.321497</v>
      </c>
      <c r="E64" s="71">
        <f>IFERROR(VLOOKUP("Tl-206",$A$4:$L$32,5)/$B64,0)</f>
        <v>7856054986.4239445</v>
      </c>
      <c r="F64" s="71">
        <f>IFERROR(VLOOKUP("Tl-206",$A$4:$L$32,6)/$B64,0)</f>
        <v>5785268110.1907759</v>
      </c>
      <c r="G64" s="71">
        <f>IFERROR(VLOOKUP("Tl-206",$A$4:$L$32,7)/$B64,0)</f>
        <v>26430854217.805706</v>
      </c>
      <c r="H64" s="70">
        <f>IFERROR(VLOOKUP("Tl-206",$A$4:$L$32,8)/$B64,0)</f>
        <v>675248605.5906651</v>
      </c>
      <c r="I64" s="71">
        <f>IFERROR(VLOOKUP("Tl-206",$A$4:$L$32,9)/$B64,0)</f>
        <v>122848771.0468955</v>
      </c>
      <c r="J64" s="71">
        <f>IFERROR(VLOOKUP("Tl-206",$A$4:$L$32,10)/$B64,0)</f>
        <v>290674034.49768621</v>
      </c>
      <c r="K64" s="71">
        <f>IFERROR(VLOOKUP("Tl-206",$A$4:$L$32,11)/$B64,0)</f>
        <v>214054920.07705891</v>
      </c>
      <c r="L64" s="71">
        <f>IFERROR(VLOOKUP("Tl-206",$A$4:$L$32,12)/$B64,0)</f>
        <v>977941606.05881214</v>
      </c>
      <c r="M64" s="70">
        <f>IFERROR(VLOOKUP("Tl-206",$A$4:$R$32,13)/$B64,0)</f>
        <v>8.4116492963497299E-5</v>
      </c>
      <c r="N64" s="71">
        <f>IFERROR(VLOOKUP("Tl-206",$A$4:$R$32,14)/$B64,0)</f>
        <v>1.5303412254070908E-8</v>
      </c>
      <c r="O64" s="71">
        <f>IFERROR(VLOOKUP("Tl-206",$A$4:$R$32,15)/$B64,0)</f>
        <v>3.6209597731946816E-5</v>
      </c>
      <c r="P64" s="71">
        <f>IFERROR(VLOOKUP("Tl-206",$A$4:$R$32,16)/$B64,0)</f>
        <v>2.6665066805600849E-5</v>
      </c>
      <c r="Q64" s="71">
        <f>IFERROR(VLOOKUP("Tl-206",$A$4:$R$32,17)/$B64,0)</f>
        <v>1.2182330706599617E-4</v>
      </c>
      <c r="R64" s="95">
        <f t="shared" ref="R64:R68" si="84">IF(D64&lt;&gt;".",D64*2.22*100,".")</f>
        <v>737092626281.37231</v>
      </c>
    </row>
    <row r="65" spans="1:18">
      <c r="A65" s="30" t="s">
        <v>31</v>
      </c>
      <c r="B65" s="30" t="s">
        <v>59</v>
      </c>
      <c r="C65" s="76">
        <f>IFERROR(1/SUM(1/C66,1/C69,1/C70,1/C71,1/C72,1/C73,1/C74,1/C75,1/C76,1/C77,1/C78),0)</f>
        <v>3.069182400682223E-2</v>
      </c>
      <c r="D65" s="77">
        <f t="shared" ref="D65:G65" si="85">IFERROR(1/SUM(1/D66,1/D69,1/D70,1/D71,1/D72,1/D73,1/D74,1/D75,1/D76,1/D77,1/D78),0)</f>
        <v>0.24530000251547515</v>
      </c>
      <c r="E65" s="77">
        <f t="shared" si="85"/>
        <v>8.9276525623980682E-2</v>
      </c>
      <c r="F65" s="77">
        <f t="shared" si="85"/>
        <v>2.21915291279117E-2</v>
      </c>
      <c r="G65" s="78">
        <f t="shared" si="85"/>
        <v>1.7796399679511195E-2</v>
      </c>
      <c r="H65" s="76">
        <f>IFERROR(1/SUM(1/H66,1/H69,1/H70,1/H71,1/H72,1/H73,1/H74,1/H75,1/H76,1/H77,1/H78),0)</f>
        <v>1.1355974882524239E-3</v>
      </c>
      <c r="I65" s="77">
        <f t="shared" ref="I65:L65" si="86">IFERROR(1/SUM(1/I66,1/I69,1/I70,1/I71,1/I72,1/I73,1/I74,1/I75,1/I76,1/I77,1/I78),0)</f>
        <v>9.076100093072588E-3</v>
      </c>
      <c r="J65" s="77">
        <f t="shared" si="86"/>
        <v>3.3032314480872884E-3</v>
      </c>
      <c r="K65" s="77">
        <f t="shared" si="86"/>
        <v>8.2108657773273378E-4</v>
      </c>
      <c r="L65" s="78">
        <f t="shared" si="86"/>
        <v>6.5846678814191482E-4</v>
      </c>
      <c r="M65" s="20">
        <f>IFERROR(C65*VLOOKUP("Rn-222",Isospec!$A$3:$R$31,3)*VLOOKUP("Rn-222",Isospec!$A$3:$R$31,6)*SSLgram,".")</f>
        <v>1.9984897955724315E-13</v>
      </c>
      <c r="N65" s="19">
        <f>IFERROR(D65*VLOOKUP("Rn-222",Isospec!$A$3:$R$31,3)*VLOOKUP("Rn-222",Isospec!$A$3:$R$31,6)*SSLcm_m,".")</f>
        <v>1.5972643130369181E-15</v>
      </c>
      <c r="O65" s="19">
        <f>IFERROR(E65*VLOOKUP("Rn-222",Isospec!$A$3:$R$31,3)*VLOOKUP("Rn-222",Isospec!$A$3:$R$31,6)*SSLgram,".")</f>
        <v>5.8132167512763991E-13</v>
      </c>
      <c r="P65" s="19">
        <f>IFERROR(F65*VLOOKUP("Rn-222",Isospec!$A$3:$R$31,3)*VLOOKUP("Rn-222",Isospec!$A$3:$R$31,6)*SSLgram,".")</f>
        <v>1.4449954000916277E-13</v>
      </c>
      <c r="Q65" s="21">
        <f>IFERROR(G65*VLOOKUP("Rn-222",Isospec!$A$3:$R$31,3)*VLOOKUP("Rn-222",Isospec!$A$3:$R$31,6)*SSLgram,".")</f>
        <v>1.1588077381626443E-13</v>
      </c>
      <c r="R65" s="94">
        <f t="shared" si="84"/>
        <v>54.456600558435483</v>
      </c>
    </row>
    <row r="66" spans="1:18">
      <c r="A66" s="31" t="s">
        <v>191</v>
      </c>
      <c r="B66" s="32">
        <v>1</v>
      </c>
      <c r="C66" s="70">
        <f>IFERROR(VLOOKUP("Rn-222",$A$4:$L$32,3)/$B66,0)</f>
        <v>210430.87707136403</v>
      </c>
      <c r="D66" s="71">
        <f>IFERROR(VLOOKUP("Rn-222",$A$4:$L$32,4)/$B66,0)</f>
        <v>1893787.8359788558</v>
      </c>
      <c r="E66" s="71">
        <f>IFERROR(VLOOKUP("Rn-222",$A$4:$L$32,5)/$B66,0)</f>
        <v>724668.91648749355</v>
      </c>
      <c r="F66" s="71">
        <f>IFERROR(VLOOKUP("Rn-222",$A$4:$L$32,6)/$B66,0)</f>
        <v>185567.48886982043</v>
      </c>
      <c r="G66" s="71">
        <f>IFERROR(VLOOKUP("Rn-222",$A$4:$L$32,7)/$B66,0)</f>
        <v>122511.74622741698</v>
      </c>
      <c r="H66" s="70">
        <f>IFERROR(VLOOKUP("Rn-222",$A$4:$L$32,8)/$B66,0)</f>
        <v>7785.942451640477</v>
      </c>
      <c r="I66" s="71">
        <f>IFERROR(VLOOKUP("Rn-222",$A$4:$L$32,9)/$B66,0)</f>
        <v>70070.149931217733</v>
      </c>
      <c r="J66" s="71">
        <f>IFERROR(VLOOKUP("Rn-222",$A$4:$L$32,10)/$B66,0)</f>
        <v>26812.749910037288</v>
      </c>
      <c r="K66" s="71">
        <f>IFERROR(VLOOKUP("Rn-222",$A$4:$L$32,11)/$B66,0)</f>
        <v>6865.9970881833633</v>
      </c>
      <c r="L66" s="71">
        <f>IFERROR(VLOOKUP("Rn-222",$A$4:$L$32,12)/$B66,0)</f>
        <v>4532.9346104144333</v>
      </c>
      <c r="M66" s="70">
        <f>IFERROR(VLOOKUP("Rn-222",$A$4:$R$32,13)/$B66,0)</f>
        <v>1.3702149484729176E-6</v>
      </c>
      <c r="N66" s="71">
        <f>IFERROR(VLOOKUP("Rn-222",$A$4:$R$32,14)/$B66,0)</f>
        <v>1.2331348128223558E-8</v>
      </c>
      <c r="O66" s="71">
        <f>IFERROR(VLOOKUP("Rn-222",$A$4:$R$32,15)/$B66,0)</f>
        <v>4.7186619943046348E-6</v>
      </c>
      <c r="P66" s="71">
        <f>IFERROR(VLOOKUP("Rn-222",$A$4:$R$32,16)/$B66,0)</f>
        <v>1.2083176705754037E-6</v>
      </c>
      <c r="Q66" s="71">
        <f>IFERROR(VLOOKUP("Rn-222",$A$4:$R$32,17)/$B66,0)</f>
        <v>7.9773191263845726E-7</v>
      </c>
      <c r="R66" s="95">
        <f t="shared" si="84"/>
        <v>420420899.58730602</v>
      </c>
    </row>
    <row r="67" spans="1:18">
      <c r="A67" s="31" t="s">
        <v>192</v>
      </c>
      <c r="B67" s="32">
        <v>1</v>
      </c>
      <c r="C67" s="70">
        <f>IFERROR(VLOOKUP("Po-218",$A$4:$L$32,3)/$B67,0)</f>
        <v>0</v>
      </c>
      <c r="D67" s="71">
        <f>IFERROR(VLOOKUP("Po-218",$A$4:$L$32,4)/$B67,0)</f>
        <v>0</v>
      </c>
      <c r="E67" s="71">
        <f>IFERROR(VLOOKUP("Po-218",$A$4:$L$32,5)/$B67,0)</f>
        <v>0</v>
      </c>
      <c r="F67" s="71">
        <f>IFERROR(VLOOKUP("Po-218",$A$4:$L$32,6)/$B67,0)</f>
        <v>0</v>
      </c>
      <c r="G67" s="71">
        <f>IFERROR(VLOOKUP("Po-218",$A$4:$L$32,7)/$B67,0)</f>
        <v>0</v>
      </c>
      <c r="H67" s="70">
        <f>IFERROR(VLOOKUP("Po-218",$A$4:$L$32,8)/$B67,0)</f>
        <v>0</v>
      </c>
      <c r="I67" s="71">
        <f>IFERROR(VLOOKUP("Po-218",$A$4:$L$32,9)/$B67,0)</f>
        <v>0</v>
      </c>
      <c r="J67" s="71">
        <f>IFERROR(VLOOKUP("Po-218",$A$4:$L$32,10)/$B67,0)</f>
        <v>0</v>
      </c>
      <c r="K67" s="71">
        <f>IFERROR(VLOOKUP("Po-218",$A$4:$L$32,11)/$B67,0)</f>
        <v>0</v>
      </c>
      <c r="L67" s="71">
        <f>IFERROR(VLOOKUP("Po-218",$A$4:$L$32,12)/$B67,0)</f>
        <v>0</v>
      </c>
      <c r="M67" s="70">
        <f>IFERROR(VLOOKUP("Po-218",$A$4:$R$32,13)/$B67,0)</f>
        <v>0</v>
      </c>
      <c r="N67" s="71">
        <f>IFERROR(VLOOKUP("Po-218",$A$4:$R$32,14)/$B67,0)</f>
        <v>0</v>
      </c>
      <c r="O67" s="71">
        <f>IFERROR(VLOOKUP("Po-218",$A$4:$R$32,15)/$B67,0)</f>
        <v>0</v>
      </c>
      <c r="P67" s="71">
        <f>IFERROR(VLOOKUP("Po-218",$A$4:$R$32,16)/$B67,0)</f>
        <v>0</v>
      </c>
      <c r="Q67" s="71">
        <f>IFERROR(VLOOKUP("Po-218",$A$4:$R$32,17)/$B67,0)</f>
        <v>0</v>
      </c>
      <c r="R67" s="95">
        <f t="shared" si="84"/>
        <v>0</v>
      </c>
    </row>
    <row r="68" spans="1:18">
      <c r="A68" s="31" t="s">
        <v>194</v>
      </c>
      <c r="B68" s="32">
        <v>2.0000000000000001E-4</v>
      </c>
      <c r="C68" s="70">
        <f>IFERROR(VLOOKUP("At-218",$A$4:$L$32,3)/$B68,0)</f>
        <v>0</v>
      </c>
      <c r="D68" s="71">
        <f>IFERROR(VLOOKUP("At-218",$A$4:$L$32,4)/$B68,0)</f>
        <v>0</v>
      </c>
      <c r="E68" s="71">
        <f>IFERROR(VLOOKUP("At-218",$A$4:$L$32,5)/$B68,0)</f>
        <v>0</v>
      </c>
      <c r="F68" s="71">
        <f>IFERROR(VLOOKUP("At-218",$A$4:$L$32,6)/$B68,0)</f>
        <v>0</v>
      </c>
      <c r="G68" s="71">
        <f>IFERROR(VLOOKUP("At-218",$A$4:$L$32,7)/$B68,0)</f>
        <v>0</v>
      </c>
      <c r="H68" s="70">
        <f>IFERROR(VLOOKUP("At-218",$A$4:$L$32,8)/$B68,0)</f>
        <v>0</v>
      </c>
      <c r="I68" s="71">
        <f>IFERROR(VLOOKUP("At-218",$A$4:$L$32,9)/$B68,0)</f>
        <v>0</v>
      </c>
      <c r="J68" s="71">
        <f>IFERROR(VLOOKUP("At-218",$A$4:$L$32,10)/$B68,0)</f>
        <v>0</v>
      </c>
      <c r="K68" s="71">
        <f>IFERROR(VLOOKUP("At-218",$A$4:$L$32,11)/$B68,0)</f>
        <v>0</v>
      </c>
      <c r="L68" s="71">
        <f>IFERROR(VLOOKUP("At-218",$A$4:$L$32,12)/$B68,0)</f>
        <v>0</v>
      </c>
      <c r="M68" s="70">
        <f>IFERROR(VLOOKUP("At-218",$A$4:$R$32,13)/$B68,0)</f>
        <v>0</v>
      </c>
      <c r="N68" s="71">
        <f>IFERROR(VLOOKUP("At-218",$A$4:$R$32,14)/$B68,0)</f>
        <v>0</v>
      </c>
      <c r="O68" s="71">
        <f>IFERROR(VLOOKUP("At-218",$A$4:$R$32,15)/$B68,0)</f>
        <v>0</v>
      </c>
      <c r="P68" s="71">
        <f>IFERROR(VLOOKUP("At-218",$A$4:$R$32,16)/$B68,0)</f>
        <v>0</v>
      </c>
      <c r="Q68" s="71">
        <f>IFERROR(VLOOKUP("At-218",$A$4:$R$32,17)/$B68,0)</f>
        <v>0</v>
      </c>
      <c r="R68" s="95">
        <f t="shared" si="84"/>
        <v>0</v>
      </c>
    </row>
    <row r="69" spans="1:18">
      <c r="A69" s="31" t="s">
        <v>196</v>
      </c>
      <c r="B69" s="32">
        <v>1.9999999999999999E-7</v>
      </c>
      <c r="C69" s="70">
        <f>IFERROR(VLOOKUP("Rn-218",$A$4:$L$32,3)/$B69,0)</f>
        <v>321952461247.13306</v>
      </c>
      <c r="D69" s="71">
        <f>IFERROR(VLOOKUP("Rn-218",$A$4:$L$32,4)/$B69,0)</f>
        <v>3090428478916.1436</v>
      </c>
      <c r="E69" s="71">
        <f>IFERROR(VLOOKUP("Rn-218",$A$4:$L$32,5)/$B69,0)</f>
        <v>1099492002112.9769</v>
      </c>
      <c r="F69" s="71">
        <f>IFERROR(VLOOKUP("Rn-218",$A$4:$L$32,6)/$B69,0)</f>
        <v>245984136237.01746</v>
      </c>
      <c r="G69" s="71">
        <f>IFERROR(VLOOKUP("Rn-218",$A$4:$L$32,7)/$B69,0)</f>
        <v>166297495325.54761</v>
      </c>
      <c r="H69" s="70">
        <f>IFERROR(VLOOKUP("Rn-218",$A$4:$L$32,8)/$B69,0)</f>
        <v>11912241066.143936</v>
      </c>
      <c r="I69" s="71">
        <f>IFERROR(VLOOKUP("Rn-218",$A$4:$L$32,9)/$B69,0)</f>
        <v>114345853719.89743</v>
      </c>
      <c r="J69" s="71">
        <f>IFERROR(VLOOKUP("Rn-218",$A$4:$L$32,10)/$B69,0)</f>
        <v>40681204078.180183</v>
      </c>
      <c r="K69" s="71">
        <f>IFERROR(VLOOKUP("Rn-218",$A$4:$L$32,11)/$B69,0)</f>
        <v>9101413040.7696552</v>
      </c>
      <c r="L69" s="71">
        <f>IFERROR(VLOOKUP("Rn-218",$A$4:$L$32,12)/$B69,0)</f>
        <v>6153007327.0452681</v>
      </c>
      <c r="M69" s="70">
        <f>IFERROR(VLOOKUP("Rn-218",$A$4:$R$32,13)/$B69,0)</f>
        <v>2.1810604966019773E-7</v>
      </c>
      <c r="N69" s="71">
        <f>IFERROR(VLOOKUP("Rn-218",$A$4:$R$32,14)/$B69,0)</f>
        <v>2.0936045796412625E-9</v>
      </c>
      <c r="O69" s="71">
        <f>IFERROR(VLOOKUP("Rn-218",$A$4:$R$32,15)/$B69,0)</f>
        <v>7.4484865338478159E-7</v>
      </c>
      <c r="P69" s="71">
        <f>IFERROR(VLOOKUP("Rn-218",$A$4:$R$32,16)/$B69,0)</f>
        <v>1.6664146012708738E-7</v>
      </c>
      <c r="Q69" s="71">
        <f>IFERROR(VLOOKUP("Rn-218",$A$4:$R$32,17)/$B69,0)</f>
        <v>1.1265790493832843E-7</v>
      </c>
      <c r="R69" s="95">
        <f>IF(D69&lt;&gt;".",D69*2.22*100,".")</f>
        <v>686075122319383.88</v>
      </c>
    </row>
    <row r="70" spans="1:18">
      <c r="A70" s="31" t="s">
        <v>193</v>
      </c>
      <c r="B70" s="32">
        <v>0.99980000000000002</v>
      </c>
      <c r="C70" s="70">
        <f>IFERROR(VLOOKUP("Pb-214",$A$4:$L$32,3)/$B70,0)</f>
        <v>0.35658036500560952</v>
      </c>
      <c r="D70" s="71">
        <f>IFERROR(VLOOKUP("Pb-214",$A$4:$L$32,4)/$B70,0)</f>
        <v>1.5611277230652054</v>
      </c>
      <c r="E70" s="71">
        <f>IFERROR(VLOOKUP("Pb-214",$A$4:$L$32,5)/$B70,0)</f>
        <v>0.54444962653893658</v>
      </c>
      <c r="F70" s="71">
        <f>IFERROR(VLOOKUP("Pb-214",$A$4:$L$32,6)/$B70,0)</f>
        <v>0.17412745366119251</v>
      </c>
      <c r="G70" s="71">
        <f>IFERROR(VLOOKUP("Pb-214",$A$4:$L$32,7)/$B70,0)</f>
        <v>0.25149733342837738</v>
      </c>
      <c r="H70" s="70">
        <f>IFERROR(VLOOKUP("Pb-214",$A$4:$L$32,8)/$B70,0)</f>
        <v>1.3193473505207566E-2</v>
      </c>
      <c r="I70" s="71">
        <f>IFERROR(VLOOKUP("Pb-214",$A$4:$L$32,9)/$B70,0)</f>
        <v>5.7761725753412659E-2</v>
      </c>
      <c r="J70" s="71">
        <f>IFERROR(VLOOKUP("Pb-214",$A$4:$L$32,10)/$B70,0)</f>
        <v>2.0144636181940675E-2</v>
      </c>
      <c r="K70" s="71">
        <f>IFERROR(VLOOKUP("Pb-214",$A$4:$L$32,11)/$B70,0)</f>
        <v>6.4427157854641294E-3</v>
      </c>
      <c r="L70" s="71">
        <f>IFERROR(VLOOKUP("Pb-214",$A$4:$L$32,12)/$B70,0)</f>
        <v>9.3054013368499729E-3</v>
      </c>
      <c r="M70" s="70">
        <f>IFERROR(VLOOKUP("Pb-214",$A$4:$R$32,13)/$B70,0)</f>
        <v>1.0894534220442217E-14</v>
      </c>
      <c r="N70" s="71">
        <f>IFERROR(VLOOKUP("Pb-214",$A$4:$R$32,14)/$B70,0)</f>
        <v>4.7696847809181426E-17</v>
      </c>
      <c r="O70" s="71">
        <f>IFERROR(VLOOKUP("Pb-214",$A$4:$R$32,15)/$B70,0)</f>
        <v>1.6634469168099365E-14</v>
      </c>
      <c r="P70" s="71">
        <f>IFERROR(VLOOKUP("Pb-214",$A$4:$R$32,16)/$B70,0)</f>
        <v>5.3200840225750656E-15</v>
      </c>
      <c r="Q70" s="71">
        <f>IFERROR(VLOOKUP("Pb-214",$A$4:$R$32,17)/$B70,0)</f>
        <v>7.68395170985458E-15</v>
      </c>
      <c r="R70" s="95">
        <f>IF(D70&lt;&gt;".",D70*2.22*100,".")</f>
        <v>346.57035452047563</v>
      </c>
    </row>
    <row r="71" spans="1:18">
      <c r="A71" s="31" t="s">
        <v>195</v>
      </c>
      <c r="B71" s="32">
        <v>0.99999979999999999</v>
      </c>
      <c r="C71" s="70">
        <f>IFERROR(VLOOKUP("Bi-214",$A$4:$L$32,3)/$B71,0)</f>
        <v>3.3614844361177759E-2</v>
      </c>
      <c r="D71" s="71">
        <f>IFERROR(VLOOKUP("Bi-214",$A$4:$L$32,4)/$B71,0)</f>
        <v>0.29156347381736553</v>
      </c>
      <c r="E71" s="71">
        <f>IFERROR(VLOOKUP("Bi-214",$A$4:$L$32,5)/$B71,0)</f>
        <v>0.10703718962370214</v>
      </c>
      <c r="F71" s="71">
        <f>IFERROR(VLOOKUP("Bi-214",$A$4:$L$32,6)/$B71,0)</f>
        <v>2.5469660270678044E-2</v>
      </c>
      <c r="G71" s="71">
        <f>IFERROR(VLOOKUP("Bi-214",$A$4:$L$32,7)/$B71,0)</f>
        <v>1.9167206030348001E-2</v>
      </c>
      <c r="H71" s="70">
        <f>IFERROR(VLOOKUP("Bi-214",$A$4:$L$32,8)/$B71,0)</f>
        <v>1.2437492413635784E-3</v>
      </c>
      <c r="I71" s="71">
        <f>IFERROR(VLOOKUP("Bi-214",$A$4:$L$32,9)/$B71,0)</f>
        <v>1.0787848531242535E-2</v>
      </c>
      <c r="J71" s="71">
        <f>IFERROR(VLOOKUP("Bi-214",$A$4:$L$32,10)/$B71,0)</f>
        <v>3.9603760160769833E-3</v>
      </c>
      <c r="K71" s="71">
        <f>IFERROR(VLOOKUP("Bi-214",$A$4:$L$32,11)/$B71,0)</f>
        <v>9.4237743001508853E-4</v>
      </c>
      <c r="L71" s="71">
        <f>IFERROR(VLOOKUP("Bi-214",$A$4:$L$32,12)/$B71,0)</f>
        <v>7.0918662312287675E-4</v>
      </c>
      <c r="M71" s="70">
        <f>IFERROR(VLOOKUP("Bi-214",$A$4:$R$32,13)/$B71,0)</f>
        <v>7.6260672250805425E-16</v>
      </c>
      <c r="N71" s="71">
        <f>IFERROR(VLOOKUP("Bi-214",$A$4:$R$32,14)/$B71,0)</f>
        <v>6.614585591469138E-18</v>
      </c>
      <c r="O71" s="71">
        <f>IFERROR(VLOOKUP("Bi-214",$A$4:$R$32,15)/$B71,0)</f>
        <v>2.4283105252058538E-15</v>
      </c>
      <c r="P71" s="71">
        <f>IFERROR(VLOOKUP("Bi-214",$A$4:$R$32,16)/$B71,0)</f>
        <v>5.7782014200986925E-16</v>
      </c>
      <c r="Q71" s="71">
        <f>IFERROR(VLOOKUP("Bi-214",$A$4:$R$32,17)/$B71,0)</f>
        <v>4.3483884718864621E-16</v>
      </c>
      <c r="R71" s="95">
        <f t="shared" ref="R71:R75" si="87">IF(D71&lt;&gt;".",D71*2.22*100,".")</f>
        <v>64.727091187455159</v>
      </c>
    </row>
    <row r="72" spans="1:18">
      <c r="A72" s="31" t="s">
        <v>197</v>
      </c>
      <c r="B72" s="32">
        <v>0.99979000004200003</v>
      </c>
      <c r="C72" s="70">
        <f>IFERROR(VLOOKUP("Po-214",$A$4:$L$32,3)/$B72,0)</f>
        <v>8720427.110184852</v>
      </c>
      <c r="D72" s="71">
        <f>IFERROR(VLOOKUP("Po-214",$A$4:$L$32,4)/$B72,0)</f>
        <v>68580289.13217634</v>
      </c>
      <c r="E72" s="71">
        <f>IFERROR(VLOOKUP("Po-214",$A$4:$L$32,5)/$B72,0)</f>
        <v>22839446.425051168</v>
      </c>
      <c r="F72" s="71">
        <f>IFERROR(VLOOKUP("Po-214",$A$4:$L$32,6)/$B72,0)</f>
        <v>5212567.2451225268</v>
      </c>
      <c r="G72" s="71">
        <f>IFERROR(VLOOKUP("Po-214",$A$4:$L$32,7)/$B72,0)</f>
        <v>4916000.9235135401</v>
      </c>
      <c r="H72" s="70">
        <f>IFERROR(VLOOKUP("Po-214",$A$4:$L$32,8)/$B72,0)</f>
        <v>322655.80307683989</v>
      </c>
      <c r="I72" s="71">
        <f>IFERROR(VLOOKUP("Po-214",$A$4:$L$32,9)/$B72,0)</f>
        <v>2537470.6978905271</v>
      </c>
      <c r="J72" s="71">
        <f>IFERROR(VLOOKUP("Po-214",$A$4:$L$32,10)/$B72,0)</f>
        <v>845059.517726894</v>
      </c>
      <c r="K72" s="71">
        <f>IFERROR(VLOOKUP("Po-214",$A$4:$L$32,11)/$B72,0)</f>
        <v>192864.98806953369</v>
      </c>
      <c r="L72" s="71">
        <f>IFERROR(VLOOKUP("Po-214",$A$4:$L$32,12)/$B72,0)</f>
        <v>181892.03417000116</v>
      </c>
      <c r="M72" s="70">
        <f>IFERROR(VLOOKUP("Po-214",$A$4:$R$32,13)/$B72,0)</f>
        <v>2.7223284233341467E-14</v>
      </c>
      <c r="N72" s="71">
        <f>IFERROR(VLOOKUP("Po-214",$A$4:$R$32,14)/$B72,0)</f>
        <v>2.1409280534774173E-16</v>
      </c>
      <c r="O72" s="71">
        <f>IFERROR(VLOOKUP("Po-214",$A$4:$R$32,15)/$B72,0)</f>
        <v>7.1299803771671286E-14</v>
      </c>
      <c r="P72" s="71">
        <f>IFERROR(VLOOKUP("Po-214",$A$4:$R$32,16)/$B72,0)</f>
        <v>1.6272505681934224E-14</v>
      </c>
      <c r="Q72" s="71">
        <f>IFERROR(VLOOKUP("Po-214",$A$4:$R$32,17)/$B72,0)</f>
        <v>1.5346689874384073E-14</v>
      </c>
      <c r="R72" s="95">
        <f t="shared" si="87"/>
        <v>15224824187.343147</v>
      </c>
    </row>
    <row r="73" spans="1:18">
      <c r="A73" s="31" t="s">
        <v>198</v>
      </c>
      <c r="B73" s="32">
        <v>2.0999995799999999E-4</v>
      </c>
      <c r="C73" s="70">
        <f>IFERROR(VLOOKUP("Tl-210",$A$4:$L$32,3)/$B73,0)</f>
        <v>40.560354123009006</v>
      </c>
      <c r="D73" s="71">
        <f>IFERROR(VLOOKUP("Tl-210",$A$4:$L$32,4)/$B73,0)</f>
        <v>266.65186659111737</v>
      </c>
      <c r="E73" s="71">
        <f>IFERROR(VLOOKUP("Tl-210",$A$4:$L$32,5)/$B73,0)</f>
        <v>91.08037982983511</v>
      </c>
      <c r="F73" s="71">
        <f>IFERROR(VLOOKUP("Tl-210",$A$4:$L$32,6)/$B73,0)</f>
        <v>24.030459715601033</v>
      </c>
      <c r="G73" s="71">
        <f>IFERROR(VLOOKUP("Tl-210",$A$4:$L$32,7)/$B73,0)</f>
        <v>24.406539920390596</v>
      </c>
      <c r="H73" s="70">
        <f>IFERROR(VLOOKUP("Tl-210",$A$4:$L$32,8)/$B73,0)</f>
        <v>1.5007331025513349</v>
      </c>
      <c r="I73" s="71">
        <f>IFERROR(VLOOKUP("Tl-210",$A$4:$L$32,9)/$B73,0)</f>
        <v>9.8661190638713521</v>
      </c>
      <c r="J73" s="71">
        <f>IFERROR(VLOOKUP("Tl-210",$A$4:$L$32,10)/$B73,0)</f>
        <v>3.3699740537039022</v>
      </c>
      <c r="K73" s="71">
        <f>IFERROR(VLOOKUP("Tl-210",$A$4:$L$32,11)/$B73,0)</f>
        <v>0.88912700947723911</v>
      </c>
      <c r="L73" s="71">
        <f>IFERROR(VLOOKUP("Tl-210",$A$4:$L$32,12)/$B73,0)</f>
        <v>0.90304197705445299</v>
      </c>
      <c r="M73" s="70">
        <f>IFERROR(VLOOKUP("Tl-210",$A$4:$R$32,13)/$B73,0)</f>
        <v>5.8988460219991656E-14</v>
      </c>
      <c r="N73" s="71">
        <f>IFERROR(VLOOKUP("Tl-210",$A$4:$R$32,14)/$B73,0)</f>
        <v>3.8780191556744102E-16</v>
      </c>
      <c r="O73" s="71">
        <f>IFERROR(VLOOKUP("Tl-210",$A$4:$R$32,15)/$B73,0)</f>
        <v>1.3246164829133348E-13</v>
      </c>
      <c r="P73" s="71">
        <f>IFERROR(VLOOKUP("Tl-210",$A$4:$R$32,16)/$B73,0)</f>
        <v>3.4948408307848451E-14</v>
      </c>
      <c r="Q73" s="71">
        <f>IFERROR(VLOOKUP("Tl-210",$A$4:$R$32,17)/$B73,0)</f>
        <v>3.5495356002941943E-14</v>
      </c>
      <c r="R73" s="95">
        <f t="shared" si="87"/>
        <v>59196.714383228064</v>
      </c>
    </row>
    <row r="74" spans="1:18">
      <c r="A74" s="31" t="s">
        <v>199</v>
      </c>
      <c r="B74" s="32">
        <v>1</v>
      </c>
      <c r="C74" s="70">
        <f>IFERROR(VLOOKUP("Pb-210",$A$4:$L$32,3)/$B74,0)</f>
        <v>242.19965520594388</v>
      </c>
      <c r="D74" s="71">
        <f>IFERROR(VLOOKUP("Pb-210",$A$4:$L$32,4)/$B74,0)</f>
        <v>393.31929835197246</v>
      </c>
      <c r="E74" s="71">
        <f>IFERROR(VLOOKUP("Pb-210",$A$4:$L$32,5)/$B74,0)</f>
        <v>91.679770607363267</v>
      </c>
      <c r="F74" s="71">
        <f>IFERROR(VLOOKUP("Pb-210",$A$4:$L$32,6)/$B74,0)</f>
        <v>65.360431359561133</v>
      </c>
      <c r="G74" s="71">
        <f>IFERROR(VLOOKUP("Pb-210",$A$4:$L$32,7)/$B74,0)</f>
        <v>653.77168396931495</v>
      </c>
      <c r="H74" s="70">
        <f>IFERROR(VLOOKUP("Pb-210",$A$4:$L$32,8)/$B74,0)</f>
        <v>8.9613872426199332</v>
      </c>
      <c r="I74" s="71">
        <f>IFERROR(VLOOKUP("Pb-210",$A$4:$L$32,9)/$B74,0)</f>
        <v>14.552814039022996</v>
      </c>
      <c r="J74" s="71">
        <f>IFERROR(VLOOKUP("Pb-210",$A$4:$L$32,10)/$B74,0)</f>
        <v>3.3921515124724442</v>
      </c>
      <c r="K74" s="71">
        <f>IFERROR(VLOOKUP("Pb-210",$A$4:$L$32,11)/$B74,0)</f>
        <v>2.4183359603037644</v>
      </c>
      <c r="L74" s="71">
        <f>IFERROR(VLOOKUP("Pb-210",$A$4:$L$32,12)/$B74,0)</f>
        <v>24.189552306864677</v>
      </c>
      <c r="M74" s="70">
        <f>IFERROR(VLOOKUP("Pb-210",$A$4:$R$32,13)/$B74,0)</f>
        <v>3.1615774191963082E-6</v>
      </c>
      <c r="N74" s="71">
        <f>IFERROR(VLOOKUP("Pb-210",$A$4:$R$32,14)/$B74,0)</f>
        <v>5.1342327929673084E-9</v>
      </c>
      <c r="O74" s="71">
        <f>IFERROR(VLOOKUP("Pb-210",$A$4:$R$32,15)/$B74,0)</f>
        <v>1.1967510536002769E-6</v>
      </c>
      <c r="P74" s="71">
        <f>IFERROR(VLOOKUP("Pb-210",$A$4:$R$32,16)/$B74,0)</f>
        <v>8.5318892679516721E-7</v>
      </c>
      <c r="Q74" s="71">
        <f>IFERROR(VLOOKUP("Pb-210",$A$4:$R$32,17)/$B74,0)</f>
        <v>8.5340740538618484E-6</v>
      </c>
      <c r="R74" s="95">
        <f t="shared" si="87"/>
        <v>87316.884234137906</v>
      </c>
    </row>
    <row r="75" spans="1:18">
      <c r="A75" s="31" t="s">
        <v>200</v>
      </c>
      <c r="B75" s="32">
        <v>1</v>
      </c>
      <c r="C75" s="70">
        <f>IFERROR(VLOOKUP("Bi-210",$A$4:$L$32,3)/$B75,0)</f>
        <v>59019805.436417058</v>
      </c>
      <c r="D75" s="71">
        <f>IFERROR(VLOOKUP("Bi-210",$A$4:$L$32,4)/$B75,0)</f>
        <v>9178478.1607635487</v>
      </c>
      <c r="E75" s="71">
        <f>IFERROR(VLOOKUP("Bi-210",$A$4:$L$32,5)/$B75,0)</f>
        <v>46180855.410676435</v>
      </c>
      <c r="F75" s="71">
        <f>IFERROR(VLOOKUP("Bi-210",$A$4:$L$32,6)/$B75,0)</f>
        <v>26245287.769591905</v>
      </c>
      <c r="G75" s="71">
        <f>IFERROR(VLOOKUP("Bi-210",$A$4:$L$32,7)/$B75,0)</f>
        <v>42599982.888785854</v>
      </c>
      <c r="H75" s="70">
        <f>IFERROR(VLOOKUP("Bi-210",$A$4:$L$32,8)/$B75,0)</f>
        <v>2183732.8011474335</v>
      </c>
      <c r="I75" s="71">
        <f>IFERROR(VLOOKUP("Bi-210",$A$4:$L$32,9)/$B75,0)</f>
        <v>339603.69194825162</v>
      </c>
      <c r="J75" s="71">
        <f>IFERROR(VLOOKUP("Bi-210",$A$4:$L$32,10)/$B75,0)</f>
        <v>1708691.6501950298</v>
      </c>
      <c r="K75" s="71">
        <f>IFERROR(VLOOKUP("Bi-210",$A$4:$L$32,11)/$B75,0)</f>
        <v>971075.64747490152</v>
      </c>
      <c r="L75" s="71">
        <f>IFERROR(VLOOKUP("Bi-210",$A$4:$L$32,12)/$B75,0)</f>
        <v>1576199.3668850781</v>
      </c>
      <c r="M75" s="70">
        <f>IFERROR(VLOOKUP("Bi-210",$A$4:$R$32,13)/$B75,0)</f>
        <v>4.7662842568716774E-4</v>
      </c>
      <c r="N75" s="71">
        <f>IFERROR(VLOOKUP("Bi-210",$A$4:$R$32,14)/$B75,0)</f>
        <v>7.4122975560835043E-8</v>
      </c>
      <c r="O75" s="71">
        <f>IFERROR(VLOOKUP("Bi-210",$A$4:$R$32,15)/$B75,0)</f>
        <v>3.7294444209902275E-4</v>
      </c>
      <c r="P75" s="71">
        <f>IFERROR(VLOOKUP("Bi-210",$A$4:$R$32,16)/$B75,0)</f>
        <v>2.1195004115700914E-4</v>
      </c>
      <c r="Q75" s="71">
        <f>IFERROR(VLOOKUP("Bi-210",$A$4:$R$32,17)/$B75,0)</f>
        <v>3.440262574307617E-4</v>
      </c>
      <c r="R75" s="95">
        <f t="shared" si="87"/>
        <v>2037622151.6895077</v>
      </c>
    </row>
    <row r="76" spans="1:18">
      <c r="A76" s="31" t="s">
        <v>202</v>
      </c>
      <c r="B76" s="32">
        <v>1</v>
      </c>
      <c r="C76" s="70">
        <f>IFERROR(VLOOKUP("Po-210",$A$4:$L$32,3)/$B76,0)</f>
        <v>638075595.19821131</v>
      </c>
      <c r="D76" s="71">
        <f>IFERROR(VLOOKUP("Po-210",$A$4:$L$32,4)/$B76,0)</f>
        <v>5035761230.5585461</v>
      </c>
      <c r="E76" s="71">
        <f>IFERROR(VLOOKUP("Po-210",$A$4:$L$32,5)/$B76,0)</f>
        <v>1676056129.786479</v>
      </c>
      <c r="F76" s="71">
        <f>IFERROR(VLOOKUP("Po-210",$A$4:$L$32,6)/$B76,0)</f>
        <v>381570864.4361347</v>
      </c>
      <c r="G76" s="71">
        <f>IFERROR(VLOOKUP("Po-210",$A$4:$L$32,7)/$B76,0)</f>
        <v>361866055.93601048</v>
      </c>
      <c r="H76" s="70">
        <f>IFERROR(VLOOKUP("Po-210",$A$4:$L$32,8)/$B76,0)</f>
        <v>23608797.022333842</v>
      </c>
      <c r="I76" s="71">
        <f>IFERROR(VLOOKUP("Po-210",$A$4:$L$32,9)/$B76,0)</f>
        <v>186323165.53066638</v>
      </c>
      <c r="J76" s="71">
        <f>IFERROR(VLOOKUP("Po-210",$A$4:$L$32,10)/$B76,0)</f>
        <v>62014076.802099787</v>
      </c>
      <c r="K76" s="71">
        <f>IFERROR(VLOOKUP("Po-210",$A$4:$L$32,11)/$B76,0)</f>
        <v>14118121.984136999</v>
      </c>
      <c r="L76" s="71">
        <f>IFERROR(VLOOKUP("Po-210",$A$4:$L$32,12)/$B76,0)</f>
        <v>13389044.069632402</v>
      </c>
      <c r="M76" s="70">
        <f>IFERROR(VLOOKUP("Po-210",$A$4:$R$32,13)/$B76,0)</f>
        <v>0.1422385669971353</v>
      </c>
      <c r="N76" s="71">
        <f>IFERROR(VLOOKUP("Po-210",$A$4:$R$32,14)/$B76,0)</f>
        <v>1.1225620703325502E-3</v>
      </c>
      <c r="O76" s="71">
        <f>IFERROR(VLOOKUP("Po-210",$A$4:$R$32,15)/$B76,0)</f>
        <v>0.37362316299456189</v>
      </c>
      <c r="P76" s="71">
        <f>IFERROR(VLOOKUP("Po-210",$A$4:$R$32,16)/$B76,0)</f>
        <v>8.505903277556684E-2</v>
      </c>
      <c r="Q76" s="71">
        <f>IFERROR(VLOOKUP("Po-210",$A$4:$R$32,17)/$B76,0)</f>
        <v>8.0666475302592203E-2</v>
      </c>
      <c r="R76" s="95">
        <f>IF(D76&lt;&gt;".",D76*2.22*100,".")</f>
        <v>1117938993183.9973</v>
      </c>
    </row>
    <row r="77" spans="1:18">
      <c r="A77" s="31" t="s">
        <v>201</v>
      </c>
      <c r="B77" s="34">
        <v>1.9000000000000001E-8</v>
      </c>
      <c r="C77" s="70">
        <f>IFERROR(VLOOKUP("Hg-206",$A$4:$L$32,3)/$B77,0)</f>
        <v>79752131.626043171</v>
      </c>
      <c r="D77" s="71">
        <f>IFERROR(VLOOKUP("Hg-206",$A$4:$L$32,4)/$B77,0)</f>
        <v>310045781.99316686</v>
      </c>
      <c r="E77" s="71">
        <f>IFERROR(VLOOKUP("Hg-206",$A$4:$L$32,5)/$B77,0)</f>
        <v>154778205.32621545</v>
      </c>
      <c r="F77" s="71">
        <f>IFERROR(VLOOKUP("Hg-206",$A$4:$L$32,6)/$B77,0)</f>
        <v>45379427.537129641</v>
      </c>
      <c r="G77" s="71">
        <f>IFERROR(VLOOKUP("Hg-206",$A$4:$L$32,7)/$B77,0)</f>
        <v>58179667.261995248</v>
      </c>
      <c r="H77" s="70">
        <f>IFERROR(VLOOKUP("Hg-206",$A$4:$L$32,8)/$B77,0)</f>
        <v>2950828.8701636004</v>
      </c>
      <c r="I77" s="71">
        <f>IFERROR(VLOOKUP("Hg-206",$A$4:$L$32,9)/$B77,0)</f>
        <v>11471693.933747185</v>
      </c>
      <c r="J77" s="71">
        <f>IFERROR(VLOOKUP("Hg-206",$A$4:$L$32,10)/$B77,0)</f>
        <v>5726793.5970699778</v>
      </c>
      <c r="K77" s="71">
        <f>IFERROR(VLOOKUP("Hg-206",$A$4:$L$32,11)/$B77,0)</f>
        <v>1679038.8188737982</v>
      </c>
      <c r="L77" s="71">
        <f>IFERROR(VLOOKUP("Hg-206",$A$4:$L$32,12)/$B77,0)</f>
        <v>2152647.6886938266</v>
      </c>
      <c r="M77" s="70">
        <f>IFERROR(VLOOKUP("Hg-206",$A$4:$R$32,13)/$B77,0)</f>
        <v>7.1329602474029991E-7</v>
      </c>
      <c r="N77" s="71">
        <f>IFERROR(VLOOKUP("Hg-206",$A$4:$R$32,14)/$B77,0)</f>
        <v>2.7730221032863946E-9</v>
      </c>
      <c r="O77" s="71">
        <f>IFERROR(VLOOKUP("Hg-206",$A$4:$R$32,15)/$B77,0)</f>
        <v>1.3843226046082919E-6</v>
      </c>
      <c r="P77" s="71">
        <f>IFERROR(VLOOKUP("Hg-206",$A$4:$R$32,16)/$B77,0)</f>
        <v>4.0586959379346465E-7</v>
      </c>
      <c r="Q77" s="71">
        <f>IFERROR(VLOOKUP("Hg-206",$A$4:$R$32,17)/$B77,0)</f>
        <v>5.2035380788672138E-7</v>
      </c>
      <c r="R77" s="95">
        <f t="shared" ref="R77:R78" si="88">IF(D77&lt;&gt;".",D77*2.22*100,".")</f>
        <v>68830163602.483047</v>
      </c>
    </row>
    <row r="78" spans="1:18">
      <c r="A78" s="31" t="s">
        <v>203</v>
      </c>
      <c r="B78" s="32">
        <v>1.339E-6</v>
      </c>
      <c r="C78" s="70">
        <f>IFERROR(VLOOKUP("Tl-206",$A$4:$L$32,3)/$B78,0)</f>
        <v>18249962313.2612</v>
      </c>
      <c r="D78" s="71">
        <f>IFERROR(VLOOKUP("Tl-206",$A$4:$L$32,4)/$B78,0)</f>
        <v>3320237055.321497</v>
      </c>
      <c r="E78" s="71">
        <f>IFERROR(VLOOKUP("Tl-206",$A$4:$L$32,5)/$B78,0)</f>
        <v>7856054986.4239445</v>
      </c>
      <c r="F78" s="71">
        <f>IFERROR(VLOOKUP("Tl-206",$A$4:$L$32,6)/$B78,0)</f>
        <v>5785268110.1907759</v>
      </c>
      <c r="G78" s="71">
        <f>IFERROR(VLOOKUP("Tl-206",$A$4:$L$32,7)/$B78,0)</f>
        <v>26430854217.805706</v>
      </c>
      <c r="H78" s="70">
        <f>IFERROR(VLOOKUP("Tl-206",$A$4:$L$32,8)/$B78,0)</f>
        <v>675248605.5906651</v>
      </c>
      <c r="I78" s="71">
        <f>IFERROR(VLOOKUP("Tl-206",$A$4:$L$32,9)/$B78,0)</f>
        <v>122848771.0468955</v>
      </c>
      <c r="J78" s="71">
        <f>IFERROR(VLOOKUP("Tl-206",$A$4:$L$32,10)/$B78,0)</f>
        <v>290674034.49768621</v>
      </c>
      <c r="K78" s="71">
        <f>IFERROR(VLOOKUP("Tl-206",$A$4:$L$32,11)/$B78,0)</f>
        <v>214054920.07705891</v>
      </c>
      <c r="L78" s="71">
        <f>IFERROR(VLOOKUP("Tl-206",$A$4:$L$32,12)/$B78,0)</f>
        <v>977941606.05881214</v>
      </c>
      <c r="M78" s="70">
        <f>IFERROR(VLOOKUP("Tl-206",$A$4:$R$32,13)/$B78,0)</f>
        <v>8.4116492963497299E-5</v>
      </c>
      <c r="N78" s="71">
        <f>IFERROR(VLOOKUP("Tl-206",$A$4:$R$32,14)/$B78,0)</f>
        <v>1.5303412254070908E-8</v>
      </c>
      <c r="O78" s="71">
        <f>IFERROR(VLOOKUP("Tl-206",$A$4:$R$32,15)/$B78,0)</f>
        <v>3.6209597731946816E-5</v>
      </c>
      <c r="P78" s="71">
        <f>IFERROR(VLOOKUP("Tl-206",$A$4:$R$32,16)/$B78,0)</f>
        <v>2.6665066805600849E-5</v>
      </c>
      <c r="Q78" s="71">
        <f>IFERROR(VLOOKUP("Tl-206",$A$4:$R$32,17)/$B78,0)</f>
        <v>1.2182330706599617E-4</v>
      </c>
      <c r="R78" s="95">
        <f t="shared" si="88"/>
        <v>737092626281.37231</v>
      </c>
    </row>
  </sheetData>
  <sheetProtection algorithmName="SHA-512" hashValue="O4bXMwDKtvUp4B8mAcxgQm9TSVuXhSm9HqLAKdIkVLdMGWBrDqOPx+PZoXP7Qn4YYwhJzGhp6dyYW2AeFSMrqg==" saltValue="Flgtlmn/dftVRFftmwo0bw==" spinCount="100000" sheet="1" formatCells="0" formatColumns="0" formatRows="0" insertColumns="0" insertRows="0" autoFilter="0"/>
  <autoFilter ref="A2:G78" xr:uid="{00000000-0009-0000-0000-000006000000}"/>
  <mergeCells count="3">
    <mergeCell ref="C1:G1"/>
    <mergeCell ref="H1:L1"/>
    <mergeCell ref="M1:Q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499984740745262"/>
  </sheetPr>
  <dimension ref="A1:L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RowHeight="12.75"/>
  <cols>
    <col min="1" max="1" width="12.5703125" style="22" bestFit="1" customWidth="1"/>
    <col min="2" max="2" width="12" style="22" bestFit="1" customWidth="1"/>
    <col min="3" max="3" width="13.7109375" style="22" bestFit="1" customWidth="1"/>
    <col min="4" max="4" width="13.85546875" style="22" bestFit="1" customWidth="1"/>
    <col min="5" max="5" width="13.42578125" style="22" bestFit="1" customWidth="1"/>
    <col min="6" max="6" width="13.7109375" style="22" bestFit="1" customWidth="1"/>
    <col min="7" max="7" width="13.85546875" style="22" bestFit="1" customWidth="1"/>
    <col min="8" max="8" width="13.42578125" style="22" bestFit="1" customWidth="1"/>
    <col min="9" max="9" width="13.7109375" style="22" bestFit="1" customWidth="1"/>
    <col min="10" max="10" width="13.85546875" style="22" bestFit="1" customWidth="1"/>
    <col min="11" max="11" width="13.42578125" style="22" bestFit="1" customWidth="1"/>
    <col min="12" max="12" width="11.28515625" bestFit="1" customWidth="1"/>
  </cols>
  <sheetData>
    <row r="1" spans="1:12" ht="13.5" thickBot="1">
      <c r="C1" s="146" t="s">
        <v>61</v>
      </c>
      <c r="D1" s="147"/>
      <c r="E1" s="147"/>
      <c r="F1" s="146" t="s">
        <v>138</v>
      </c>
      <c r="G1" s="147"/>
      <c r="H1" s="147"/>
      <c r="I1" s="146" t="s">
        <v>139</v>
      </c>
      <c r="J1" s="147"/>
      <c r="K1" s="147"/>
      <c r="L1" s="65" t="s">
        <v>252</v>
      </c>
    </row>
    <row r="2" spans="1:12">
      <c r="A2" s="11" t="s">
        <v>0</v>
      </c>
      <c r="B2" s="11" t="s">
        <v>43</v>
      </c>
      <c r="C2" s="35" t="s">
        <v>159</v>
      </c>
      <c r="D2" s="36" t="s">
        <v>160</v>
      </c>
      <c r="E2" s="38" t="s">
        <v>161</v>
      </c>
      <c r="F2" s="35" t="s">
        <v>159</v>
      </c>
      <c r="G2" s="36" t="s">
        <v>160</v>
      </c>
      <c r="H2" s="36" t="s">
        <v>161</v>
      </c>
      <c r="I2" s="35" t="s">
        <v>159</v>
      </c>
      <c r="J2" s="36" t="s">
        <v>160</v>
      </c>
      <c r="K2" s="37" t="s">
        <v>161</v>
      </c>
      <c r="L2" s="66" t="s">
        <v>161</v>
      </c>
    </row>
    <row r="3" spans="1:12" ht="13.5" thickBot="1">
      <c r="B3" s="26" t="s">
        <v>44</v>
      </c>
      <c r="C3" s="27" t="s">
        <v>140</v>
      </c>
      <c r="D3" s="28" t="s">
        <v>140</v>
      </c>
      <c r="E3" s="39" t="s">
        <v>140</v>
      </c>
      <c r="F3" s="27" t="s">
        <v>141</v>
      </c>
      <c r="G3" s="28" t="s">
        <v>141</v>
      </c>
      <c r="H3" s="28" t="s">
        <v>141</v>
      </c>
      <c r="I3" s="27" t="s">
        <v>142</v>
      </c>
      <c r="J3" s="28" t="s">
        <v>142</v>
      </c>
      <c r="K3" s="29" t="s">
        <v>142</v>
      </c>
      <c r="L3" s="79" t="s">
        <v>253</v>
      </c>
    </row>
    <row r="4" spans="1:12">
      <c r="A4" s="87" t="s">
        <v>23</v>
      </c>
      <c r="B4" s="12" t="s">
        <v>59</v>
      </c>
      <c r="C4" s="2">
        <f>IFERROR((DL)/(Doses!C2*IRDiw*Fin*Fi),".")</f>
        <v>0.34617303723077525</v>
      </c>
      <c r="D4" s="3">
        <f>IFERROR((DL)/(Doses!L2*Fin*Fi*Fam*Foff*ETiw*(1/24)*EFiw*(1/365)*Isospec!Q3),".")</f>
        <v>283.84788863830778</v>
      </c>
      <c r="E4" s="3">
        <f>IFERROR(IF(AND(ISNUMBER(C4),ISNUMBER(D4)),(1/((1/C4)+(1/D4))),IF(AND(ISNUMBER(C4),NOT(ISNUMBER(D4))),(1/(1/C4)),IF(AND(NOT(ISNUMBER(C4)),ISNUMBER(D4)),(1/(1/D4)),"."))),".")</f>
        <v>0.34575136842109266</v>
      </c>
      <c r="F4" s="2">
        <f t="shared" ref="F4:F5" si="0">IFERROR(C4/_1_bq,".")</f>
        <v>1.2808402377538696E-2</v>
      </c>
      <c r="G4" s="3">
        <f t="shared" ref="G4:G5" si="1">IFERROR(D4/_1_bq,".")</f>
        <v>10.502371879617398</v>
      </c>
      <c r="H4" s="5">
        <f t="shared" ref="H4:H5" si="2">IFERROR(E4/_1_bq,".")</f>
        <v>1.2792800631580441E-2</v>
      </c>
      <c r="I4" s="2">
        <f>IFERROR(C4*Isospec!C3*Isospec!F3*SSLcm_m,".")</f>
        <v>5.9750414645312761E-15</v>
      </c>
      <c r="J4" s="3">
        <f>IFERROR(D4*Isospec!C3*Isospec!F3*SSLcm_m,".")</f>
        <v>4.8992923244420957E-12</v>
      </c>
      <c r="K4" s="5">
        <f>IFERROR(E4*Isospec!C3*Isospec!F3*SSLcm_m,".")</f>
        <v>5.9677633453504546E-15</v>
      </c>
      <c r="L4" s="67">
        <f>IF(E4&lt;&gt;".",E4*2.22*100,".")</f>
        <v>76.756803789482575</v>
      </c>
    </row>
    <row r="5" spans="1:12">
      <c r="A5" s="88" t="s">
        <v>14</v>
      </c>
      <c r="B5" s="12" t="s">
        <v>44</v>
      </c>
      <c r="C5" s="2">
        <f>IFERROR((DL)/(Doses!C3*IRDiw*Fin*Fi),".")</f>
        <v>6.5501368809352561E-2</v>
      </c>
      <c r="D5" s="3">
        <f>IFERROR((DL)/(Doses!L3*Fin*Fi*Fam*Foff*ETiw*(1/24)*EFiw*(1/365)*Isospec!Q4),".")</f>
        <v>171.87119862503044</v>
      </c>
      <c r="E5" s="3">
        <f t="shared" ref="E5" si="3">IFERROR(IF(AND(ISNUMBER(C5),ISNUMBER(D5)),(1/((1/C5)+(1/D5))),IF(AND(ISNUMBER(C5),NOT(ISNUMBER(D5))),(1/(1/C5)),IF(AND(NOT(ISNUMBER(C5)),ISNUMBER(D5)),(1/(1/D5)),"."))),".")</f>
        <v>6.5476415269380861E-2</v>
      </c>
      <c r="F5" s="2">
        <f t="shared" si="0"/>
        <v>2.4235506459460471E-3</v>
      </c>
      <c r="G5" s="3">
        <f t="shared" si="1"/>
        <v>6.3592343491261332</v>
      </c>
      <c r="H5" s="5">
        <f t="shared" si="2"/>
        <v>2.4226273649670944E-3</v>
      </c>
      <c r="I5" s="2">
        <f>IFERROR(C5*Isospec!C4*Isospec!F4*SSLcm_m,".")</f>
        <v>1.9103379891276589E-11</v>
      </c>
      <c r="J5" s="3">
        <f>IFERROR(D5*Isospec!C4*Isospec!F4*SSLcm_m,".")</f>
        <v>5.012598758446411E-8</v>
      </c>
      <c r="K5" s="5">
        <f>IFERROR(E5*Isospec!C4*Isospec!F4*SSLcm_m,".")</f>
        <v>1.9096102227276943E-11</v>
      </c>
      <c r="L5" s="67">
        <f>IF(E5&lt;&gt;".",E5*2.22*100,".")</f>
        <v>14.535764189802553</v>
      </c>
    </row>
    <row r="6" spans="1:12">
      <c r="A6" s="87" t="s">
        <v>15</v>
      </c>
      <c r="B6" s="12" t="s">
        <v>59</v>
      </c>
      <c r="C6" s="2" t="str">
        <f>IFERROR((DL)/(Doses!C4*IRDiw*Fin*Fi),".")</f>
        <v>.</v>
      </c>
      <c r="D6" s="3">
        <f>IFERROR((DL)/(Doses!L4*Fin*Fi*Fam*Foff*ETiw*(1/24)*EFiw*(1/365)*Isospec!Q5),".")</f>
        <v>16505.692202756221</v>
      </c>
      <c r="E6" s="3">
        <f t="shared" ref="E6:E8" si="4">IFERROR(IF(AND(ISNUMBER(C6),ISNUMBER(D6)),(1/((1/C6)+(1/D6))),IF(AND(ISNUMBER(C6),NOT(ISNUMBER(D6))),(1/(1/C6)),IF(AND(NOT(ISNUMBER(C6)),ISNUMBER(D6)),(1/(1/D6)),"."))),".")</f>
        <v>16505.692202756221</v>
      </c>
      <c r="F6" s="2" t="str">
        <f t="shared" ref="F6:F7" si="5">IFERROR(C6/_1_bq,".")</f>
        <v>.</v>
      </c>
      <c r="G6" s="3">
        <f t="shared" ref="G6:G7" si="6">IFERROR(D6/_1_bq,".")</f>
        <v>610.71061150198079</v>
      </c>
      <c r="H6" s="5">
        <f t="shared" ref="H6:H7" si="7">IFERROR(E6/_1_bq,".")</f>
        <v>610.71061150198079</v>
      </c>
      <c r="I6" s="2" t="str">
        <f>IFERROR(C6*Isospec!C5*Isospec!F5*SSLcm_m,".")</f>
        <v>.</v>
      </c>
      <c r="J6" s="3">
        <f>IFERROR(D6*Isospec!C5*Isospec!F5*SSLcm_m,".")</f>
        <v>1.0271820529279219E-17</v>
      </c>
      <c r="K6" s="5">
        <f>IFERROR(E6*Isospec!C5*Isospec!F5*SSLcm_m,".")</f>
        <v>1.0271820529279219E-17</v>
      </c>
      <c r="L6" s="67">
        <f t="shared" ref="L6:L7" si="8">IF(E6&lt;&gt;".",E6*2.22*100,".")</f>
        <v>3664263.6690118816</v>
      </c>
    </row>
    <row r="7" spans="1:12">
      <c r="A7" s="87" t="s">
        <v>16</v>
      </c>
      <c r="B7" s="89" t="s">
        <v>59</v>
      </c>
      <c r="C7" s="2" t="str">
        <f>IFERROR((DL)/(Doses!C5*IRDiw*Fin*Fi),".")</f>
        <v>.</v>
      </c>
      <c r="D7" s="3">
        <f>IFERROR((DL)/(Doses!L5*Fin*Fi*Fam*Foff*ETiw*(1/24)*EFiw*(1/365)*Isospec!Q6),".")</f>
        <v>33304.818933561452</v>
      </c>
      <c r="E7" s="3">
        <f t="shared" si="4"/>
        <v>33304.818933561452</v>
      </c>
      <c r="F7" s="2" t="str">
        <f t="shared" si="5"/>
        <v>.</v>
      </c>
      <c r="G7" s="3">
        <f t="shared" si="6"/>
        <v>1232.278300541775</v>
      </c>
      <c r="H7" s="5">
        <f t="shared" si="7"/>
        <v>1232.278300541775</v>
      </c>
      <c r="I7" s="2" t="str">
        <f>IFERROR(C7*Isospec!C6*Isospec!F6*SSLcm_m,".")</f>
        <v>.</v>
      </c>
      <c r="J7" s="3">
        <f>IFERROR(D7*Isospec!C6*Isospec!F6*SSLcm_m,".")</f>
        <v>9.6695497893102933E-16</v>
      </c>
      <c r="K7" s="5">
        <f>IFERROR(E7*Isospec!C6*Isospec!F6*SSLcm_m,".")</f>
        <v>9.6695497893102933E-16</v>
      </c>
      <c r="L7" s="67">
        <f t="shared" si="8"/>
        <v>7393669.8032506434</v>
      </c>
    </row>
    <row r="8" spans="1:12">
      <c r="A8" s="87" t="s">
        <v>18</v>
      </c>
      <c r="B8" s="12" t="s">
        <v>59</v>
      </c>
      <c r="C8" s="2" t="str">
        <f>IFERROR((DL)/(Doses!C6*IRDiw*Fin*Fi),".")</f>
        <v>.</v>
      </c>
      <c r="D8" s="3">
        <f>IFERROR((DL)/(Doses!L6*Fin*Fi*Fam*Foff*ETiw*(1/24)*EFiw*(1/365)*Isospec!Q7),".")</f>
        <v>6.493573882193524</v>
      </c>
      <c r="E8" s="3">
        <f t="shared" si="4"/>
        <v>6.493573882193524</v>
      </c>
      <c r="F8" s="2" t="str">
        <f t="shared" ref="F8:F11" si="9">IFERROR(C8/_1_bq,".")</f>
        <v>.</v>
      </c>
      <c r="G8" s="3">
        <f t="shared" ref="G8:G11" si="10">IFERROR(D8/_1_bq,".")</f>
        <v>0.24026223364116064</v>
      </c>
      <c r="H8" s="5">
        <f t="shared" ref="H8:H11" si="11">IFERROR(E8/_1_bq,".")</f>
        <v>0.24026223364116064</v>
      </c>
      <c r="I8" s="2" t="str">
        <f>IFERROR(C8*Isospec!C7*Isospec!F7*SSLcm_m,".")</f>
        <v>.</v>
      </c>
      <c r="J8" s="3">
        <f>IFERROR(D8*Isospec!C7*Isospec!F7*SSLcm_m,".")</f>
        <v>1.2094493854578456E-17</v>
      </c>
      <c r="K8" s="5">
        <f>IFERROR(E8*Isospec!C7*Isospec!F7*SSLcm_m,".")</f>
        <v>1.2094493854578456E-17</v>
      </c>
      <c r="L8" s="67">
        <f>IF(E8&lt;&gt;".",E8*2.22*100,".")</f>
        <v>1441.5734018469625</v>
      </c>
    </row>
    <row r="9" spans="1:12">
      <c r="A9" s="87" t="s">
        <v>19</v>
      </c>
      <c r="B9" s="90" t="s">
        <v>59</v>
      </c>
      <c r="C9" s="2">
        <f>IFERROR((DL)/(Doses!C7*IRDiw*Fin*Fi),".")</f>
        <v>10.20021315809765</v>
      </c>
      <c r="D9" s="3">
        <f>IFERROR((DL)/(Doses!L7*Fin*Fi*Fam*Foff*ETiw*(1/24)*EFiw*(1/365)*Isospec!Q8),".")</f>
        <v>106.74621453064566</v>
      </c>
      <c r="E9" s="3">
        <f t="shared" ref="E9:E11" si="12">IFERROR(IF(AND(ISNUMBER(C9),ISNUMBER(D9)),(1/((1/C9)+(1/D9))),IF(AND(ISNUMBER(C9),NOT(ISNUMBER(D9))),(1/(1/C9)),IF(AND(NOT(ISNUMBER(C9)),ISNUMBER(D9)),(1/(1/D9)),"."))),".")</f>
        <v>9.3105378552526084</v>
      </c>
      <c r="F9" s="2">
        <f t="shared" si="9"/>
        <v>0.37740788684961346</v>
      </c>
      <c r="G9" s="3">
        <f t="shared" si="10"/>
        <v>3.9496099376338933</v>
      </c>
      <c r="H9" s="5">
        <f t="shared" si="11"/>
        <v>0.34448990064434687</v>
      </c>
      <c r="I9" s="2">
        <f>IFERROR(C9*Isospec!C8*Isospec!F8*SSLcm_m,".")</f>
        <v>8.2374238669004308E-14</v>
      </c>
      <c r="J9" s="3">
        <f>IFERROR(D9*Isospec!C8*Isospec!F8*SSLcm_m,".")</f>
        <v>8.6205435283276668E-13</v>
      </c>
      <c r="K9" s="5">
        <f>IFERROR(E9*Isospec!C8*Isospec!F8*SSLcm_m,".")</f>
        <v>7.5189454920019977E-14</v>
      </c>
      <c r="L9" s="67">
        <f>IF(E9&lt;&gt;".",E9*2.22*100,".")</f>
        <v>2066.9394038660789</v>
      </c>
    </row>
    <row r="10" spans="1:12">
      <c r="A10" s="87" t="s">
        <v>20</v>
      </c>
      <c r="B10" s="12" t="s">
        <v>59</v>
      </c>
      <c r="C10" s="2">
        <f>IFERROR((DL)/(Doses!C8*IRDiw*Fin*Fi),".")</f>
        <v>67.48625877327234</v>
      </c>
      <c r="D10" s="3">
        <f>IFERROR((DL)/(Doses!L8*Fin*Fi*Fam*Foff*ETiw*(1/24)*EFiw*(1/365)*Isospec!Q9),".")</f>
        <v>22.846293475766238</v>
      </c>
      <c r="E10" s="3">
        <f t="shared" si="12"/>
        <v>17.068164633110911</v>
      </c>
      <c r="F10" s="2">
        <f t="shared" si="9"/>
        <v>2.4969915746110791</v>
      </c>
      <c r="G10" s="3">
        <f t="shared" si="10"/>
        <v>0.8453128586033517</v>
      </c>
      <c r="H10" s="5">
        <f t="shared" si="11"/>
        <v>0.63152209142510429</v>
      </c>
      <c r="I10" s="2">
        <f>IFERROR(C10*Isospec!C9*Isospec!F9*SSLcm_m,".")</f>
        <v>3.4911396646674176E-15</v>
      </c>
      <c r="J10" s="3">
        <f>IFERROR(D10*Isospec!C9*Isospec!F9*SSLcm_m,".")</f>
        <v>1.1818643201402124E-15</v>
      </c>
      <c r="K10" s="5">
        <f>IFERROR(E10*Isospec!C9*Isospec!F9*SSLcm_m,".")</f>
        <v>8.8295525099290907E-16</v>
      </c>
      <c r="L10" s="67">
        <f t="shared" ref="L10:L11" si="13">IF(E10&lt;&gt;".",E10*2.22*100,".")</f>
        <v>3789.1325485506222</v>
      </c>
    </row>
    <row r="11" spans="1:12">
      <c r="A11" s="87" t="s">
        <v>21</v>
      </c>
      <c r="B11" s="90" t="s">
        <v>59</v>
      </c>
      <c r="C11" s="2">
        <f>IFERROR((DL)/(Doses!C9*IRDiw*Fin*Fi),".")</f>
        <v>119.30606461703503</v>
      </c>
      <c r="D11" s="3">
        <f>IFERROR((DL)/(Doses!L9*Fin*Fi*Fam*Foff*ETiw*(1/24)*EFiw*(1/365)*Isospec!Q10),".")</f>
        <v>2.6385860070603262</v>
      </c>
      <c r="E11" s="3">
        <f t="shared" si="12"/>
        <v>2.5814934156180342</v>
      </c>
      <c r="F11" s="2">
        <f t="shared" si="9"/>
        <v>4.4143243908303011</v>
      </c>
      <c r="G11" s="3">
        <f t="shared" si="10"/>
        <v>9.7627682261232168E-2</v>
      </c>
      <c r="H11" s="5">
        <f t="shared" si="11"/>
        <v>9.5515256377867369E-2</v>
      </c>
      <c r="I11" s="2">
        <f>IFERROR(C11*Isospec!C10*Isospec!F10*SSLcm_m,".")</f>
        <v>2.7066496555911305E-15</v>
      </c>
      <c r="J11" s="3">
        <f>IFERROR(D11*Isospec!C10*Isospec!F10*SSLcm_m,".")</f>
        <v>5.9860560569002978E-17</v>
      </c>
      <c r="K11" s="5">
        <f>IFERROR(E11*Isospec!C10*Isospec!F10*SSLcm_m,".")</f>
        <v>5.8565323453772363E-17</v>
      </c>
      <c r="L11" s="67">
        <f t="shared" si="13"/>
        <v>573.09153826720365</v>
      </c>
    </row>
    <row r="12" spans="1:12">
      <c r="A12" s="88" t="s">
        <v>17</v>
      </c>
      <c r="B12" s="12" t="s">
        <v>44</v>
      </c>
      <c r="C12" s="2">
        <f>IFERROR((DL)/(Doses!C10*IRDiw*Fin*Fi),".")</f>
        <v>0.98252053214028845</v>
      </c>
      <c r="D12" s="3">
        <f>IFERROR((DL)/(Doses!L10*Fin*Fi*Fam*Foff*ETiw*(1/24)*EFiw*(1/365)*Isospec!Q11),".")</f>
        <v>1197.0581885066017</v>
      </c>
      <c r="E12" s="3">
        <f t="shared" ref="E12" si="14">IFERROR(IF(AND(ISNUMBER(C12),ISNUMBER(D12)),(1/((1/C12)+(1/D12))),IF(AND(ISNUMBER(C12),NOT(ISNUMBER(D12))),(1/(1/C12)),IF(AND(NOT(ISNUMBER(C12)),ISNUMBER(D12)),(1/(1/D12)),"."))),".")</f>
        <v>0.98171476102684119</v>
      </c>
      <c r="F12" s="2">
        <f t="shared" ref="F12" si="15">IFERROR(C12/_1_bq,".")</f>
        <v>3.635325968919071E-2</v>
      </c>
      <c r="G12" s="3">
        <f t="shared" ref="G12" si="16">IFERROR(D12/_1_bq,".")</f>
        <v>44.291152974744307</v>
      </c>
      <c r="H12" s="5">
        <f t="shared" ref="H12" si="17">IFERROR(E12/_1_bq,".")</f>
        <v>3.6323446157993163E-2</v>
      </c>
      <c r="I12" s="2">
        <f>IFERROR(C12*Isospec!C11*Isospec!F11*SSLcm_m,".")</f>
        <v>1.1369825417671599E-11</v>
      </c>
      <c r="J12" s="3">
        <f>IFERROR(D12*Isospec!C11*Isospec!F11*SSLcm_m,".")</f>
        <v>1.3852476536511642E-8</v>
      </c>
      <c r="K12" s="5">
        <f>IFERROR(E12*Isospec!C11*Isospec!F11*SSLcm_m,".")</f>
        <v>1.1360500954124216E-11</v>
      </c>
      <c r="L12" s="67">
        <f t="shared" ref="L12" si="18">IF(E12&lt;&gt;".",E12*2.22*100,".")</f>
        <v>217.94067694795876</v>
      </c>
    </row>
    <row r="13" spans="1:12">
      <c r="A13" s="87" t="s">
        <v>24</v>
      </c>
      <c r="B13" s="12" t="s">
        <v>59</v>
      </c>
      <c r="C13" s="2" t="str">
        <f>IFERROR((DL)/(Doses!C11*IRDiw*Fin*Fi),".")</f>
        <v>.</v>
      </c>
      <c r="D13" s="3">
        <f>IFERROR((DL)/(Doses!L11*Fin*Fi*Fam*Foff*ETiw*(1/24)*EFiw*(1/365)*Isospec!Q12),".")</f>
        <v>139.28595278905811</v>
      </c>
      <c r="E13" s="3">
        <f t="shared" ref="E13" si="19">IFERROR(IF(AND(ISNUMBER(C13),ISNUMBER(D13)),(1/((1/C13)+(1/D13))),IF(AND(ISNUMBER(C13),NOT(ISNUMBER(D13))),(1/(1/C13)),IF(AND(NOT(ISNUMBER(C13)),ISNUMBER(D13)),(1/(1/D13)),"."))),".")</f>
        <v>139.28595278905811</v>
      </c>
      <c r="F13" s="2" t="str">
        <f t="shared" ref="F13" si="20">IFERROR(C13/_1_bq,".")</f>
        <v>.</v>
      </c>
      <c r="G13" s="3">
        <f t="shared" ref="G13" si="21">IFERROR(D13/_1_bq,".")</f>
        <v>5.1535802531951553</v>
      </c>
      <c r="H13" s="5">
        <f t="shared" ref="H13" si="22">IFERROR(E13/_1_bq,".")</f>
        <v>5.1535802531951553</v>
      </c>
      <c r="I13" s="2" t="str">
        <f>IFERROR(C13*Isospec!C12*Isospec!F12*SSLcm_m,".")</f>
        <v>.</v>
      </c>
      <c r="J13" s="3">
        <f>IFERROR(D13*Isospec!C12*Isospec!F12*SSLcm_m,".")</f>
        <v>8.0352306539337804E-16</v>
      </c>
      <c r="K13" s="5">
        <f>IFERROR(E13*Isospec!C12*Isospec!F12*SSLcm_m,".")</f>
        <v>8.0352306539337804E-16</v>
      </c>
      <c r="L13" s="67">
        <f t="shared" ref="L13" si="23">IF(E13&lt;&gt;".",E13*2.22*100,".")</f>
        <v>30921.481519170902</v>
      </c>
    </row>
    <row r="14" spans="1:12">
      <c r="A14" s="87" t="s">
        <v>22</v>
      </c>
      <c r="B14" s="89" t="s">
        <v>59</v>
      </c>
      <c r="C14" s="2" t="str">
        <f>IFERROR((DL)/(Doses!C12*IRDiw*Fin*Fi),".")</f>
        <v>.</v>
      </c>
      <c r="D14" s="3">
        <f>IFERROR((DL)/(Doses!L12*Fin*Fi*Fam*Foff*ETiw*(1/24)*EFiw*(1/365)*Isospec!Q13),".")</f>
        <v>25.146255906212502</v>
      </c>
      <c r="E14" s="3">
        <f t="shared" ref="E14" si="24">IFERROR(IF(AND(ISNUMBER(C14),ISNUMBER(D14)),(1/((1/C14)+(1/D14))),IF(AND(ISNUMBER(C14),NOT(ISNUMBER(D14))),(1/(1/C14)),IF(AND(NOT(ISNUMBER(C14)),ISNUMBER(D14)),(1/(1/D14)),"."))),".")</f>
        <v>25.146255906212502</v>
      </c>
      <c r="F14" s="2" t="str">
        <f t="shared" ref="F14" si="25">IFERROR(C14/_1_bq,".")</f>
        <v>.</v>
      </c>
      <c r="G14" s="3">
        <f t="shared" ref="G14" si="26">IFERROR(D14/_1_bq,".")</f>
        <v>0.93041146852986356</v>
      </c>
      <c r="H14" s="5">
        <f t="shared" ref="H14" si="27">IFERROR(E14/_1_bq,".")</f>
        <v>0.93041146852986356</v>
      </c>
      <c r="I14" s="2" t="str">
        <f>IFERROR(C14*Isospec!C13*Isospec!F13*SSLcm_m,".")</f>
        <v>.</v>
      </c>
      <c r="J14" s="3">
        <f>IFERROR(D14*Isospec!C13*Isospec!F13*SSLcm_m,".")</f>
        <v>2.2490589291216394E-16</v>
      </c>
      <c r="K14" s="5">
        <f>IFERROR(E14*Isospec!C13*Isospec!F13*SSLcm_m,".")</f>
        <v>2.2490589291216394E-16</v>
      </c>
      <c r="L14" s="67">
        <f t="shared" ref="L14" si="28">IF(E14&lt;&gt;".",E14*2.22*100,".")</f>
        <v>5582.4688111791756</v>
      </c>
    </row>
    <row r="15" spans="1:12">
      <c r="A15" s="87" t="s">
        <v>28</v>
      </c>
      <c r="B15" s="12" t="s">
        <v>59</v>
      </c>
      <c r="C15" s="2">
        <f>IFERROR((DL)/(Doses!C13*IRDiw*Fin*Fi),".")</f>
        <v>0.12488111436549461</v>
      </c>
      <c r="D15" s="3">
        <f>IFERROR((DL)/(Doses!L13*Fin*Fi*Fam*Foff*ETiw*(1/24)*EFiw*(1/365)*Isospec!Q14),".")</f>
        <v>153.55705450924847</v>
      </c>
      <c r="E15" s="3">
        <f t="shared" ref="E15:E18" si="29">IFERROR(IF(AND(ISNUMBER(C15),ISNUMBER(D15)),(1/((1/C15)+(1/D15))),IF(AND(ISNUMBER(C15),NOT(ISNUMBER(D15))),(1/(1/C15)),IF(AND(NOT(ISNUMBER(C15)),ISNUMBER(D15)),(1/(1/D15)),"."))),".")</f>
        <v>0.12477963664358874</v>
      </c>
      <c r="F15" s="2">
        <f t="shared" ref="F15:F16" si="30">IFERROR(C15/_1_bq,".")</f>
        <v>4.6206012315233051E-3</v>
      </c>
      <c r="G15" s="3">
        <f t="shared" ref="G15:G16" si="31">IFERROR(D15/_1_bq,".")</f>
        <v>5.6816110168421989</v>
      </c>
      <c r="H15" s="5">
        <f t="shared" ref="H15:H16" si="32">IFERROR(E15/_1_bq,".")</f>
        <v>4.6168465558127881E-3</v>
      </c>
      <c r="I15" s="2">
        <f>IFERROR(C15*Isospec!C14*Isospec!F14*SSLcm_m,".")</f>
        <v>1.7767565446486814E-7</v>
      </c>
      <c r="J15" s="3">
        <f>IFERROR(D15*Isospec!C14*Isospec!F14*SSLcm_m,".")</f>
        <v>2.1847458918229117E-4</v>
      </c>
      <c r="K15" s="5">
        <f>IFERROR(E15*Isospec!C14*Isospec!F14*SSLcm_m,".")</f>
        <v>1.7753127618361369E-7</v>
      </c>
      <c r="L15" s="67">
        <f t="shared" ref="L15:L16" si="33">IF(E15&lt;&gt;".",E15*2.22*100,".")</f>
        <v>27.701079334876706</v>
      </c>
    </row>
    <row r="16" spans="1:12">
      <c r="A16" s="87" t="s">
        <v>29</v>
      </c>
      <c r="B16" s="12" t="s">
        <v>59</v>
      </c>
      <c r="C16" s="2">
        <f>IFERROR((DL)/(Doses!C14*IRDiw*Fin*Fi),".")</f>
        <v>13.832587201975077</v>
      </c>
      <c r="D16" s="3">
        <f>IFERROR((DL)/(Doses!L14*Fin*Fi*Fam*Foff*ETiw*(1/24)*EFiw*(1/365)*Isospec!Q15),".")</f>
        <v>18.548475891216157</v>
      </c>
      <c r="E16" s="3">
        <f t="shared" si="29"/>
        <v>7.9235635189176223</v>
      </c>
      <c r="F16" s="2">
        <f t="shared" si="30"/>
        <v>0.51180572647307832</v>
      </c>
      <c r="G16" s="3">
        <f t="shared" si="31"/>
        <v>0.6862936079749985</v>
      </c>
      <c r="H16" s="5">
        <f t="shared" si="32"/>
        <v>0.29317185019995234</v>
      </c>
      <c r="I16" s="2">
        <f>IFERROR(C16*Isospec!C15*Isospec!F15*SSLcm_m,".")</f>
        <v>6.6674096577797843E-13</v>
      </c>
      <c r="J16" s="3">
        <f>IFERROR(D16*Isospec!C15*Isospec!F15*SSLcm_m,".")</f>
        <v>8.9405029940119887E-13</v>
      </c>
      <c r="K16" s="5">
        <f>IFERROR(E16*Isospec!C15*Isospec!F15*SSLcm_m,".")</f>
        <v>3.8192164024470911E-13</v>
      </c>
      <c r="L16" s="67">
        <f t="shared" si="33"/>
        <v>1759.0311011997123</v>
      </c>
    </row>
    <row r="17" spans="1:12">
      <c r="A17" s="87" t="s">
        <v>32</v>
      </c>
      <c r="B17" s="12" t="s">
        <v>59</v>
      </c>
      <c r="C17" s="2">
        <f>IFERROR((DL)/(Doses!C15*IRDiw*Fin*Fi),".")</f>
        <v>235.66630047809392</v>
      </c>
      <c r="D17" s="3">
        <f>IFERROR((DL)/(Doses!L15*Fin*Fi*Fam*Foff*ETiw*(1/24)*EFiw*(1/365)*Isospec!Q16),".")</f>
        <v>1305.0477638542889</v>
      </c>
      <c r="E17" s="3">
        <f t="shared" si="29"/>
        <v>199.61898549165153</v>
      </c>
      <c r="F17" s="2">
        <f t="shared" ref="F17:F23" si="34">IFERROR(C17/_1_bq,".")</f>
        <v>8.719653117689484</v>
      </c>
      <c r="G17" s="3">
        <f t="shared" ref="G17:G23" si="35">IFERROR(D17/_1_bq,".")</f>
        <v>48.286767262608734</v>
      </c>
      <c r="H17" s="5">
        <f t="shared" ref="H17:H23" si="36">IFERROR(E17/_1_bq,".")</f>
        <v>7.3859024631911137</v>
      </c>
      <c r="I17" s="2">
        <f>IFERROR(C17*Isospec!C16*Isospec!F16*SSLcm_m,".")</f>
        <v>5.1213181807808882E-14</v>
      </c>
      <c r="J17" s="3">
        <f>IFERROR(D17*Isospec!C16*Isospec!F16*SSLcm_m,".")</f>
        <v>2.8360290912427995E-13</v>
      </c>
      <c r="K17" s="5">
        <f>IFERROR(E17*Isospec!C16*Isospec!F16*SSLcm_m,".")</f>
        <v>4.3379657488299188E-14</v>
      </c>
      <c r="L17" s="67">
        <f t="shared" ref="L17:L23" si="37">IF(E17&lt;&gt;".",E17*2.22*100,".")</f>
        <v>44315.414779146638</v>
      </c>
    </row>
    <row r="18" spans="1:12">
      <c r="A18" s="87" t="s">
        <v>33</v>
      </c>
      <c r="B18" s="90" t="s">
        <v>59</v>
      </c>
      <c r="C18" s="2">
        <f>IFERROR((DL)/(Doses!C16*IRDiw*Fin*Fi),".")</f>
        <v>1.9198677064810231E-2</v>
      </c>
      <c r="D18" s="3">
        <f>IFERROR((DL)/(Doses!L16*Fin*Fi*Fam*Foff*ETiw*(1/24)*EFiw*(1/365)*Isospec!Q17),".")</f>
        <v>1726.6323179841763</v>
      </c>
      <c r="E18" s="3">
        <f t="shared" si="29"/>
        <v>1.9198463594287962E-2</v>
      </c>
      <c r="F18" s="2">
        <f t="shared" si="34"/>
        <v>7.1035105139797931E-4</v>
      </c>
      <c r="G18" s="3">
        <f t="shared" si="35"/>
        <v>63.885395765414586</v>
      </c>
      <c r="H18" s="5">
        <f t="shared" si="36"/>
        <v>7.1034315298865527E-4</v>
      </c>
      <c r="I18" s="2">
        <f>IFERROR(C18*Isospec!C17*Isospec!F17*SSLcm_m,".")</f>
        <v>2.5061185093320684E-13</v>
      </c>
      <c r="J18" s="3">
        <f>IFERROR(D18*Isospec!C17*Isospec!F17*SSLcm_m,".")</f>
        <v>2.2538767626038242E-8</v>
      </c>
      <c r="K18" s="5">
        <f>IFERROR(E18*Isospec!C17*Isospec!F17*SSLcm_m,".")</f>
        <v>2.5060906437439732E-13</v>
      </c>
      <c r="L18" s="67">
        <f t="shared" si="37"/>
        <v>4.2620589179319275</v>
      </c>
    </row>
    <row r="19" spans="1:12">
      <c r="A19" s="87" t="s">
        <v>34</v>
      </c>
      <c r="B19" s="90" t="s">
        <v>59</v>
      </c>
      <c r="C19" s="2">
        <f>IFERROR((DL)/(Doses!C17*IRDiw*Fin*Fi),".")</f>
        <v>96.131505302934698</v>
      </c>
      <c r="D19" s="3">
        <f>IFERROR((DL)/(Doses!L17*Fin*Fi*Fam*Foff*ETiw*(1/24)*EFiw*(1/365)*Isospec!Q18),".")</f>
        <v>15.418897654426598</v>
      </c>
      <c r="E19" s="3">
        <f t="shared" ref="E19:E23" si="38">IFERROR(IF(AND(ISNUMBER(C19),ISNUMBER(D19)),(1/((1/C19)+(1/D19))),IF(AND(ISNUMBER(C19),NOT(ISNUMBER(D19))),(1/(1/C19)),IF(AND(NOT(ISNUMBER(C19)),ISNUMBER(D19)),(1/(1/D19)),"."))),".")</f>
        <v>13.287642198822768</v>
      </c>
      <c r="F19" s="2">
        <f t="shared" si="34"/>
        <v>3.5568656962085874</v>
      </c>
      <c r="G19" s="3">
        <f t="shared" si="35"/>
        <v>0.57049921321378472</v>
      </c>
      <c r="H19" s="5">
        <f t="shared" si="36"/>
        <v>0.49164276135644291</v>
      </c>
      <c r="I19" s="2">
        <f>IFERROR(C19*Isospec!C18*Isospec!F18*SSLcm_m,".")</f>
        <v>2.9370881769358466E-15</v>
      </c>
      <c r="J19" s="3">
        <f>IFERROR(D19*Isospec!C18*Isospec!F18*SSLcm_m,".")</f>
        <v>4.7109074033003534E-16</v>
      </c>
      <c r="K19" s="5">
        <f>IFERROR(E19*Isospec!C18*Isospec!F18*SSLcm_m,".")</f>
        <v>4.0597488490929497E-16</v>
      </c>
      <c r="L19" s="67">
        <f t="shared" si="37"/>
        <v>2949.8565681386549</v>
      </c>
    </row>
    <row r="20" spans="1:12">
      <c r="A20" s="87" t="s">
        <v>36</v>
      </c>
      <c r="B20" s="90" t="s">
        <v>59</v>
      </c>
      <c r="C20" s="2">
        <f>IFERROR((DL)/(Doses!C18*IRDiw*Fin*Fi),".")</f>
        <v>1.1043205981080927E-2</v>
      </c>
      <c r="D20" s="3">
        <f>IFERROR((DL)/(Doses!L18*Fin*Fi*Fam*Foff*ETiw*(1/24)*EFiw*(1/365)*Isospec!Q19),".")</f>
        <v>406376.58677067928</v>
      </c>
      <c r="E20" s="3">
        <f t="shared" si="38"/>
        <v>1.1043205680983928E-2</v>
      </c>
      <c r="F20" s="2">
        <f t="shared" si="34"/>
        <v>4.0859862129999472E-4</v>
      </c>
      <c r="G20" s="3">
        <f t="shared" si="35"/>
        <v>15035.933710515148</v>
      </c>
      <c r="H20" s="5">
        <f t="shared" si="36"/>
        <v>4.0859861019640575E-4</v>
      </c>
      <c r="I20" s="2">
        <f>IFERROR(C20*Isospec!C19*Isospec!F19*SSLcm_m,".")</f>
        <v>2.4617299354870359E-15</v>
      </c>
      <c r="J20" s="3">
        <f>IFERROR(D20*Isospec!C19*Isospec!F19*SSLcm_m,".")</f>
        <v>9.058867601023472E-8</v>
      </c>
      <c r="K20" s="5">
        <f>IFERROR(E20*Isospec!C19*Isospec!F19*SSLcm_m,".")</f>
        <v>2.4617298685899982E-15</v>
      </c>
      <c r="L20" s="67">
        <f t="shared" si="37"/>
        <v>2.4515916611784321</v>
      </c>
    </row>
    <row r="21" spans="1:12">
      <c r="A21" s="87" t="s">
        <v>37</v>
      </c>
      <c r="B21" s="12" t="s">
        <v>59</v>
      </c>
      <c r="C21" s="2" t="str">
        <f>IFERROR((DL)/(Doses!C19*IRDiw*Fin*Fi),".")</f>
        <v>.</v>
      </c>
      <c r="D21" s="3">
        <f>IFERROR((DL)/(Doses!L19*Fin*Fi*Fam*Foff*ETiw*(1/24)*EFiw*(1/365)*Isospec!Q20),".")</f>
        <v>104952.16050492054</v>
      </c>
      <c r="E21" s="3">
        <f t="shared" si="38"/>
        <v>104952.16050492054</v>
      </c>
      <c r="F21" s="2" t="str">
        <f t="shared" si="34"/>
        <v>.</v>
      </c>
      <c r="G21" s="3">
        <f t="shared" si="35"/>
        <v>3883.2299386820637</v>
      </c>
      <c r="H21" s="5">
        <f t="shared" si="36"/>
        <v>3883.2299386820637</v>
      </c>
      <c r="I21" s="2" t="str">
        <f>IFERROR(C21*Isospec!C20*Isospec!F20*SSLcm_m,".")</f>
        <v>.</v>
      </c>
      <c r="J21" s="3">
        <f>IFERROR(D21*Isospec!C20*Isospec!F20*SSLcm_m,".")</f>
        <v>8.3362686391921248E-21</v>
      </c>
      <c r="K21" s="5">
        <f>IFERROR(E21*Isospec!C20*Isospec!F20*SSLcm_m,".")</f>
        <v>8.3362686391921248E-21</v>
      </c>
      <c r="L21" s="67">
        <f t="shared" si="37"/>
        <v>23299379.63209236</v>
      </c>
    </row>
    <row r="22" spans="1:12">
      <c r="A22" s="87" t="s">
        <v>38</v>
      </c>
      <c r="B22" s="90" t="s">
        <v>59</v>
      </c>
      <c r="C22" s="2" t="str">
        <f>IFERROR((DL)/(Doses!C20*IRDiw*Fin*Fi),".")</f>
        <v>.</v>
      </c>
      <c r="D22" s="3">
        <f>IFERROR((DL)/(Doses!L20*Fin*Fi*Fam*Foff*ETiw*(1/24)*EFiw*(1/365)*Isospec!Q21),".")</f>
        <v>47608.540406933462</v>
      </c>
      <c r="E22" s="3">
        <f t="shared" si="38"/>
        <v>47608.540406933462</v>
      </c>
      <c r="F22" s="2" t="str">
        <f t="shared" si="34"/>
        <v>.</v>
      </c>
      <c r="G22" s="3">
        <f t="shared" si="35"/>
        <v>1761.5159950565399</v>
      </c>
      <c r="H22" s="5">
        <f t="shared" si="36"/>
        <v>1761.5159950565399</v>
      </c>
      <c r="I22" s="2" t="str">
        <f>IFERROR(C22*Isospec!C21*Isospec!F21*SSLcm_m,".")</f>
        <v>.</v>
      </c>
      <c r="J22" s="3">
        <f>IFERROR(D22*Isospec!C21*Isospec!F21*SSLcm_m,".")</f>
        <v>1.4862354917441638E-19</v>
      </c>
      <c r="K22" s="5">
        <f>IFERROR(E22*Isospec!C21*Isospec!F21*SSLcm_m,".")</f>
        <v>1.4862354917441638E-19</v>
      </c>
      <c r="L22" s="67">
        <f t="shared" si="37"/>
        <v>10569095.970339229</v>
      </c>
    </row>
    <row r="23" spans="1:12">
      <c r="A23" s="87" t="s">
        <v>39</v>
      </c>
      <c r="B23" s="90" t="s">
        <v>59</v>
      </c>
      <c r="C23" s="2" t="str">
        <f>IFERROR((DL)/(Doses!C21*IRDiw*Fin*Fi),".")</f>
        <v>.</v>
      </c>
      <c r="D23" s="3">
        <f>IFERROR((DL)/(Doses!L21*Fin*Fi*Fam*Foff*ETiw*(1/24)*EFiw*(1/365)*Isospec!Q22),".")</f>
        <v>626030431.08198214</v>
      </c>
      <c r="E23" s="3">
        <f t="shared" si="38"/>
        <v>626030431.08198214</v>
      </c>
      <c r="F23" s="2" t="str">
        <f t="shared" si="34"/>
        <v>.</v>
      </c>
      <c r="G23" s="3">
        <f t="shared" si="35"/>
        <v>23163125.950033363</v>
      </c>
      <c r="H23" s="5">
        <f t="shared" si="36"/>
        <v>23163125.950033363</v>
      </c>
      <c r="I23" s="2" t="str">
        <f>IFERROR(C23*Isospec!C22*Isospec!F22*SSLcm_m,".")</f>
        <v>.</v>
      </c>
      <c r="J23" s="3">
        <f>IFERROR(D23*Isospec!C22*Isospec!F22*SSLcm_m,".")</f>
        <v>2.2538048381099075E-9</v>
      </c>
      <c r="K23" s="5">
        <f>IFERROR(E23*Isospec!C22*Isospec!F22*SSLcm_m,".")</f>
        <v>2.2538048381099075E-9</v>
      </c>
      <c r="L23" s="67">
        <f t="shared" si="37"/>
        <v>138978755700.20004</v>
      </c>
    </row>
    <row r="24" spans="1:12">
      <c r="A24" s="87" t="s">
        <v>26</v>
      </c>
      <c r="B24" s="12" t="s">
        <v>59</v>
      </c>
      <c r="C24" s="2">
        <f>IFERROR((DL)/(Doses!C22*IRDiw*Fin*Fi),".")</f>
        <v>0.13415943009144501</v>
      </c>
      <c r="D24" s="3">
        <f>IFERROR((DL)/(Doses!L22*Fin*Fi*Fam*Foff*ETiw*(1/24)*EFiw*(1/365)*Isospec!Q23),".")</f>
        <v>340.61746636596939</v>
      </c>
      <c r="E24" s="3">
        <f t="shared" ref="E24:E25" si="39">IFERROR(IF(AND(ISNUMBER(C24),ISNUMBER(D24)),(1/((1/C24)+(1/D24))),IF(AND(ISNUMBER(C24),NOT(ISNUMBER(D24))),(1/(1/C24)),IF(AND(NOT(ISNUMBER(C24)),ISNUMBER(D24)),(1/(1/D24)),"."))),".")</f>
        <v>0.13410660935246713</v>
      </c>
      <c r="F24" s="2">
        <f t="shared" ref="F24:F25" si="40">IFERROR(C24/_1_bq,".")</f>
        <v>4.9638989133834709E-3</v>
      </c>
      <c r="G24" s="3">
        <f t="shared" ref="G24:G25" si="41">IFERROR(D24/_1_bq,".")</f>
        <v>12.60284625554088</v>
      </c>
      <c r="H24" s="5">
        <f t="shared" ref="H24:H25" si="42">IFERROR(E24/_1_bq,".")</f>
        <v>4.9619445460412888E-3</v>
      </c>
      <c r="I24" s="2">
        <f>IFERROR(C24*Isospec!C23*Isospec!F23*SSLcm_m,".")</f>
        <v>3.4502864938859968E-15</v>
      </c>
      <c r="J24" s="3">
        <f>IFERROR(D24*Isospec!C23*Isospec!F23*SSLcm_m,".")</f>
        <v>8.7599346761023031E-12</v>
      </c>
      <c r="K24" s="5">
        <f>IFERROR(E24*Isospec!C23*Isospec!F23*SSLcm_m,".")</f>
        <v>3.4489280602509684E-15</v>
      </c>
      <c r="L24" s="67">
        <f t="shared" ref="L24:L25" si="43">IF(E24&lt;&gt;".",E24*2.22*100,".")</f>
        <v>29.771667276247705</v>
      </c>
    </row>
    <row r="25" spans="1:12">
      <c r="A25" s="88" t="s">
        <v>27</v>
      </c>
      <c r="B25" s="90" t="s">
        <v>44</v>
      </c>
      <c r="C25" s="2">
        <f>IFERROR((DL)/(Doses!C23*IRDiw*Fin*Fi),".")</f>
        <v>4.7722425846814007E-2</v>
      </c>
      <c r="D25" s="3">
        <f>IFERROR((DL)/(Doses!L23*Fin*Fi*Fam*Foff*ETiw*(1/24)*EFiw*(1/365)*Isospec!Q24),".")</f>
        <v>560.89702545294369</v>
      </c>
      <c r="E25" s="3">
        <f t="shared" si="39"/>
        <v>4.7718365857060442E-2</v>
      </c>
      <c r="F25" s="2">
        <f t="shared" si="40"/>
        <v>1.7657297563321199E-3</v>
      </c>
      <c r="G25" s="3">
        <f t="shared" si="41"/>
        <v>20.753189941758936</v>
      </c>
      <c r="H25" s="5">
        <f t="shared" si="42"/>
        <v>1.7655795367112381E-3</v>
      </c>
      <c r="I25" s="2">
        <f>IFERROR(C25*Isospec!C24*Isospec!F24*SSLcm_m,".")</f>
        <v>4.8318001721382245E-11</v>
      </c>
      <c r="J25" s="3">
        <f>IFERROR(D25*Isospec!C24*Isospec!F24*SSLcm_m,".")</f>
        <v>5.6789702033059652E-7</v>
      </c>
      <c r="K25" s="5">
        <f>IFERROR(E25*Isospec!C24*Isospec!F24*SSLcm_m,".")</f>
        <v>4.8313891062956558E-11</v>
      </c>
      <c r="L25" s="67">
        <f t="shared" si="43"/>
        <v>10.593477220267419</v>
      </c>
    </row>
    <row r="26" spans="1:12">
      <c r="A26" s="87" t="s">
        <v>30</v>
      </c>
      <c r="B26" s="90" t="s">
        <v>59</v>
      </c>
      <c r="C26" s="2" t="str">
        <f>IFERROR((DL)/(Doses!C24*IRDiw*Fin*Fi),".")</f>
        <v>.</v>
      </c>
      <c r="D26" s="3">
        <f>IFERROR((DL)/(Doses!L24*Fin*Fi*Fam*Foff*ETiw*(1/24)*EFiw*(1/365)*Isospec!Q25),".")</f>
        <v>5175.1272514166612</v>
      </c>
      <c r="E26" s="3">
        <f t="shared" ref="E26:E27" si="44">IFERROR(IF(AND(ISNUMBER(C26),ISNUMBER(D26)),(1/((1/C26)+(1/D26))),IF(AND(ISNUMBER(C26),NOT(ISNUMBER(D26))),(1/(1/C26)),IF(AND(NOT(ISNUMBER(C26)),ISNUMBER(D26)),(1/(1/D26)),"."))),".")</f>
        <v>5175.1272514166612</v>
      </c>
      <c r="F26" s="2" t="str">
        <f t="shared" ref="F26:F27" si="45">IFERROR(C26/_1_bq,".")</f>
        <v>.</v>
      </c>
      <c r="G26" s="3">
        <f t="shared" ref="G26:G27" si="46">IFERROR(D26/_1_bq,".")</f>
        <v>191.47970830241667</v>
      </c>
      <c r="H26" s="5">
        <f t="shared" ref="H26:H27" si="47">IFERROR(E26/_1_bq,".")</f>
        <v>191.47970830241667</v>
      </c>
      <c r="I26" s="2" t="str">
        <f>IFERROR(C26*Isospec!C25*Isospec!F25*SSLcm_m,".")</f>
        <v>.</v>
      </c>
      <c r="J26" s="3">
        <f>IFERROR(D26*Isospec!C25*Isospec!F25*SSLcm_m,".")</f>
        <v>3.5058795852127565E-18</v>
      </c>
      <c r="K26" s="5">
        <f>IFERROR(E26*Isospec!C25*Isospec!F25*SSLcm_m,".")</f>
        <v>3.5058795852127565E-18</v>
      </c>
      <c r="L26" s="67">
        <f t="shared" ref="L26:L27" si="48">IF(E26&lt;&gt;".",E26*2.22*100,".")</f>
        <v>1148878.2498144989</v>
      </c>
    </row>
    <row r="27" spans="1:12">
      <c r="A27" s="88" t="s">
        <v>31</v>
      </c>
      <c r="B27" s="90" t="s">
        <v>44</v>
      </c>
      <c r="C27" s="2" t="str">
        <f>IFERROR((DL)/(Doses!C25*IRDiw*Fin*Fi),".")</f>
        <v>.</v>
      </c>
      <c r="D27" s="3">
        <f>IFERROR((DL)/(Doses!L25*Fin*Fi*Fam*Foff*ETiw*(1/24)*EFiw*(1/365)*Isospec!Q26),".")</f>
        <v>10072.021854907698</v>
      </c>
      <c r="E27" s="3">
        <f t="shared" si="44"/>
        <v>10072.021854907698</v>
      </c>
      <c r="F27" s="2" t="str">
        <f t="shared" si="45"/>
        <v>.</v>
      </c>
      <c r="G27" s="3">
        <f t="shared" si="46"/>
        <v>372.66480863158523</v>
      </c>
      <c r="H27" s="5">
        <f t="shared" si="47"/>
        <v>372.66480863158523</v>
      </c>
      <c r="I27" s="2" t="str">
        <f>IFERROR(C27*Isospec!C26*Isospec!F26*SSLcm_m,".")</f>
        <v>.</v>
      </c>
      <c r="J27" s="3">
        <f>IFERROR(D27*Isospec!C26*Isospec!F26*SSLcm_m,".")</f>
        <v>6.5583697121882623E-11</v>
      </c>
      <c r="K27" s="5">
        <f>IFERROR(E27*Isospec!C26*Isospec!F26*SSLcm_m,".")</f>
        <v>6.5583697121882623E-11</v>
      </c>
      <c r="L27" s="67">
        <f t="shared" si="48"/>
        <v>2235988.8517895089</v>
      </c>
    </row>
    <row r="28" spans="1:12">
      <c r="A28" s="87" t="s">
        <v>35</v>
      </c>
      <c r="B28" s="12" t="s">
        <v>59</v>
      </c>
      <c r="C28" s="2">
        <f>IFERROR((DL)/(Doses!C26*IRDiw*Fin*Fi),".")</f>
        <v>2.6778114703623093E-2</v>
      </c>
      <c r="D28" s="3">
        <f>IFERROR((DL)/(Doses!L26*Fin*Fi*Fam*Foff*ETiw*(1/24)*EFiw*(1/365)*Isospec!Q27),".")</f>
        <v>48.345704903556936</v>
      </c>
      <c r="E28" s="3">
        <f t="shared" ref="E28" si="49">IFERROR(IF(AND(ISNUMBER(C28),ISNUMBER(D28)),(1/((1/C28)+(1/D28))),IF(AND(ISNUMBER(C28),NOT(ISNUMBER(D28))),(1/(1/C28)),IF(AND(NOT(ISNUMBER(C28)),ISNUMBER(D28)),(1/(1/D28)),"."))),".")</f>
        <v>2.6763290833059953E-2</v>
      </c>
      <c r="F28" s="2">
        <f t="shared" ref="F28" si="50">IFERROR(C28/_1_bq,".")</f>
        <v>9.9079024403405541E-4</v>
      </c>
      <c r="G28" s="3">
        <f t="shared" ref="G28" si="51">IFERROR(D28/_1_bq,".")</f>
        <v>1.7887910814316084</v>
      </c>
      <c r="H28" s="5">
        <f t="shared" ref="H28" si="52">IFERROR(E28/_1_bq,".")</f>
        <v>9.9024176082321931E-4</v>
      </c>
      <c r="I28" s="2">
        <f>IFERROR(C28*Isospec!C27*Isospec!F27*SSLcm_m,".")</f>
        <v>1.2602873326604935E-10</v>
      </c>
      <c r="J28" s="3">
        <f>IFERROR(D28*Isospec!C27*Isospec!F27*SSLcm_m,".")</f>
        <v>2.2753461232373962E-7</v>
      </c>
      <c r="K28" s="5">
        <f>IFERROR(E28*Isospec!C27*Isospec!F27*SSLcm_m,".")</f>
        <v>1.2595896608304005E-10</v>
      </c>
      <c r="L28" s="67">
        <f t="shared" ref="L28:L31" si="53">IF(E28&lt;&gt;".",E28*2.22*100,".")</f>
        <v>5.9414505649393101</v>
      </c>
    </row>
    <row r="29" spans="1:12">
      <c r="A29" s="87" t="s">
        <v>40</v>
      </c>
      <c r="B29" s="90" t="s">
        <v>59</v>
      </c>
      <c r="C29" s="2" t="str">
        <f>IFERROR((DL)/(Doses!C27*IRDiw*Fin*Fi),".")</f>
        <v>.</v>
      </c>
      <c r="D29" s="3">
        <f>IFERROR((DL)/(Doses!L27*Fin*Fi*Fam*Foff*ETiw*(1/24)*EFiw*(1/365)*Isospec!Q28),".")</f>
        <v>61.222093627870315</v>
      </c>
      <c r="E29" s="3">
        <f t="shared" ref="E29:E32" si="54">IFERROR(IF(AND(ISNUMBER(C29),ISNUMBER(D29)),(1/((1/C29)+(1/D29))),IF(AND(ISNUMBER(C29),NOT(ISNUMBER(D29))),(1/(1/C29)),IF(AND(NOT(ISNUMBER(C29)),ISNUMBER(D29)),(1/(1/D29)),"."))),".")</f>
        <v>61.222093627870315</v>
      </c>
      <c r="F29" s="2" t="str">
        <f t="shared" ref="F29:F32" si="55">IFERROR(C29/_1_bq,".")</f>
        <v>.</v>
      </c>
      <c r="G29" s="3">
        <f t="shared" ref="G29:G32" si="56">IFERROR(D29/_1_bq,".")</f>
        <v>2.265217464231204</v>
      </c>
      <c r="H29" s="5">
        <f t="shared" ref="H29:H32" si="57">IFERROR(E29/_1_bq,".")</f>
        <v>2.265217464231204</v>
      </c>
      <c r="I29" s="2" t="str">
        <f>IFERROR(C29*Isospec!C28*Isospec!F28*SSLcm_m,".")</f>
        <v>.</v>
      </c>
      <c r="J29" s="3">
        <f>IFERROR(D29*Isospec!C28*Isospec!F28*SSLcm_m,".")</f>
        <v>2.8218073656608438E-16</v>
      </c>
      <c r="K29" s="5">
        <f>IFERROR(E29*Isospec!C28*Isospec!F28*SSLcm_m,".")</f>
        <v>2.8218073656608438E-16</v>
      </c>
      <c r="L29" s="67">
        <f t="shared" si="53"/>
        <v>13591.304785387212</v>
      </c>
    </row>
    <row r="30" spans="1:12">
      <c r="A30" s="87" t="s">
        <v>41</v>
      </c>
      <c r="B30" s="12" t="s">
        <v>59</v>
      </c>
      <c r="C30" s="2" t="str">
        <f>IFERROR((DL)/(Doses!C28*IRDiw*Fin*Fi),".")</f>
        <v>.</v>
      </c>
      <c r="D30" s="3">
        <f>IFERROR((DL)/(Doses!L28*Fin*Fi*Fam*Foff*ETiw*(1/24)*EFiw*(1/365)*Isospec!Q29),".")</f>
        <v>1.8548475891216152</v>
      </c>
      <c r="E30" s="3">
        <f t="shared" si="54"/>
        <v>1.8548475891216152</v>
      </c>
      <c r="F30" s="2" t="str">
        <f t="shared" si="55"/>
        <v>.</v>
      </c>
      <c r="G30" s="3">
        <f t="shared" si="56"/>
        <v>6.862936079749983E-2</v>
      </c>
      <c r="H30" s="5">
        <f t="shared" si="57"/>
        <v>6.862936079749983E-2</v>
      </c>
      <c r="I30" s="2" t="str">
        <f>IFERROR(C30*Isospec!C29*Isospec!F29*SSLcm_m,".")</f>
        <v>.</v>
      </c>
      <c r="J30" s="3">
        <f>IFERROR(D30*Isospec!C29*Isospec!F29*SSLcm_m,".")</f>
        <v>4.4628465840595862E-18</v>
      </c>
      <c r="K30" s="5">
        <f>IFERROR(E30*Isospec!C29*Isospec!F29*SSLcm_m,".")</f>
        <v>4.4628465840595862E-18</v>
      </c>
      <c r="L30" s="67">
        <f t="shared" si="53"/>
        <v>411.77616478499857</v>
      </c>
    </row>
    <row r="31" spans="1:12">
      <c r="A31" s="87" t="s">
        <v>42</v>
      </c>
      <c r="B31" s="90" t="s">
        <v>59</v>
      </c>
      <c r="C31" s="2" t="str">
        <f>IFERROR((DL)/(Doses!C29*IRDiw*Fin*Fi),".")</f>
        <v>.</v>
      </c>
      <c r="D31" s="3">
        <f>IFERROR((DL)/(Doses!L29*Fin*Fi*Fam*Foff*ETiw*(1/24)*EFiw*(1/365)*Isospec!Q30),".")</f>
        <v>1.4192394431915392</v>
      </c>
      <c r="E31" s="3">
        <f t="shared" si="54"/>
        <v>1.4192394431915392</v>
      </c>
      <c r="F31" s="2" t="str">
        <f t="shared" si="55"/>
        <v>.</v>
      </c>
      <c r="G31" s="3">
        <f t="shared" si="56"/>
        <v>5.2511859398087002E-2</v>
      </c>
      <c r="H31" s="5">
        <f t="shared" si="57"/>
        <v>5.2511859398087002E-2</v>
      </c>
      <c r="I31" s="2" t="str">
        <f>IFERROR(C31*Isospec!C30*Isospec!F30*SSLcm_m,".")</f>
        <v>.</v>
      </c>
      <c r="J31" s="3">
        <f>IFERROR(D31*Isospec!C30*Isospec!F30*SSLcm_m,".")</f>
        <v>2.0640537107602666E-18</v>
      </c>
      <c r="K31" s="5">
        <f>IFERROR(E31*Isospec!C30*Isospec!F30*SSLcm_m,".")</f>
        <v>2.0640537107602666E-18</v>
      </c>
      <c r="L31" s="67">
        <f t="shared" si="53"/>
        <v>315.07115638852167</v>
      </c>
    </row>
    <row r="32" spans="1:12">
      <c r="A32" s="87" t="s">
        <v>25</v>
      </c>
      <c r="B32" s="12" t="s">
        <v>59</v>
      </c>
      <c r="C32" s="2">
        <f>IFERROR((DL)/(Doses!C30*IRDiw*Fin*Fi),".")</f>
        <v>0.26098201634976409</v>
      </c>
      <c r="D32" s="3">
        <f>IFERROR((DL)/(Doses!L30*Fin*Fi*Fam*Foff*ETiw*(1/24)*EFiw*(1/365)*Isospec!Q31),".")</f>
        <v>7871.4120378690404</v>
      </c>
      <c r="E32" s="3">
        <f t="shared" si="54"/>
        <v>0.2609733636005091</v>
      </c>
      <c r="F32" s="2">
        <f t="shared" si="55"/>
        <v>9.6563346049412819E-3</v>
      </c>
      <c r="G32" s="3">
        <f t="shared" si="56"/>
        <v>291.24224540115478</v>
      </c>
      <c r="H32" s="5">
        <f t="shared" si="57"/>
        <v>9.6560144532188471E-3</v>
      </c>
      <c r="I32" s="2">
        <f>IFERROR(C32*Isospec!C31*Isospec!F31*SSLcm_m,".")</f>
        <v>2.7106135060680509E-8</v>
      </c>
      <c r="J32" s="3">
        <f>IFERROR(D32*Isospec!C31*Isospec!F31*SSLcm_m,".")</f>
        <v>8.1754122679011736E-4</v>
      </c>
      <c r="K32" s="5">
        <f>IFERROR(E32*Isospec!C31*Isospec!F31*SSLcm_m,".")</f>
        <v>2.7105236368145165E-8</v>
      </c>
      <c r="L32" s="67">
        <f t="shared" ref="L32" si="58">IF(E32&lt;&gt;".",E32*2.22*100,".")</f>
        <v>57.936086719313032</v>
      </c>
    </row>
    <row r="33" spans="1:12">
      <c r="A33" s="30" t="s">
        <v>14</v>
      </c>
      <c r="B33" s="30" t="s">
        <v>59</v>
      </c>
      <c r="C33" s="76">
        <f>IFERROR(1/SUM(1/C34,1/C35,1/C36,1/C37,1/C38,1/C39,1/C40,1/C43,1/C46),0)</f>
        <v>1.3353990823155365E-2</v>
      </c>
      <c r="D33" s="77">
        <f>IFERROR(1/SUM(1/D34,1/D35,1/D36,1/D37,1/D38,1/D39,1/D40,1/D41,1/D42,1/D43,1/D44,1/D45,1/D46),0)</f>
        <v>6.3872830823302573</v>
      </c>
      <c r="E33" s="78">
        <f>IFERROR(1/SUM(1/E34,1/E35,1/E36,1/E37,1/E38,1/E39,1/E40,1/E41,1/E42,1/E43,1/E44,1/E45,1/E46),0)</f>
        <v>1.3326129679199416E-2</v>
      </c>
      <c r="F33" s="76">
        <f>IFERROR(1/SUM(1/F34,1/F35,1/F36,1/F37,1/F38,1/F39,1/F40,1/F43,1/F46),0)</f>
        <v>4.9409766045674906E-4</v>
      </c>
      <c r="G33" s="77">
        <f>IFERROR(1/SUM(1/G34,1/G35,1/G36,1/G37,1/G38,1/G39,1/G40,1/G41,1/G42,1/G43,1/G44,1/G45,1/G46),0)</f>
        <v>0.23632947404621973</v>
      </c>
      <c r="H33" s="78">
        <f>IFERROR(1/SUM(1/H34,1/H35,1/H36,1/H37,1/H38,1/H39,1/H40,1/H41,1/H42,1/H43,1/H44,1/H45,1/H46),0)</f>
        <v>4.9306679813037897E-4</v>
      </c>
      <c r="I33" s="20">
        <f>IFERROR(C33*Isospec!$C$4*Isospec!$F$4*SSLcm_m,".")</f>
        <v>3.8946721938264769E-12</v>
      </c>
      <c r="J33" s="19">
        <f>IFERROR(D33*Isospec!$C$4*Isospec!$F$4*SSLcm_m,".")</f>
        <v>1.862841913273981E-9</v>
      </c>
      <c r="K33" s="19">
        <f>IFERROR(E33*Isospec!$C$4*Isospec!$F$4*SSLcm_m,".")</f>
        <v>3.8865465313117716E-12</v>
      </c>
      <c r="L33" s="94">
        <f>IF(E33&lt;&gt;".",E33*2.22*100,".")</f>
        <v>2.9584007887822708</v>
      </c>
    </row>
    <row r="34" spans="1:12">
      <c r="A34" s="31" t="s">
        <v>175</v>
      </c>
      <c r="B34" s="32">
        <v>1</v>
      </c>
      <c r="C34" s="70">
        <f>IFERROR(VLOOKUP("Am-241",$A$4:$L$32,3)/$B34,0)</f>
        <v>6.5501368809352561E-2</v>
      </c>
      <c r="D34" s="71">
        <f>IFERROR(VLOOKUP("Am-241",$A$4:$L$32,4)/$B34,0)</f>
        <v>171.87119862503044</v>
      </c>
      <c r="E34" s="72">
        <f>IFERROR(IF(AND(C34&lt;&gt;0,D34&lt;&gt;0),(1/((1/C34)+(1/D34))),IF(AND(C34&lt;&gt;0,D34=0),(1/(1/C34)),IF(AND(C34=0,D34&lt;&gt;0),(1/(1/D34)),0))),0)</f>
        <v>6.5476415269380861E-2</v>
      </c>
      <c r="F34" s="70">
        <f>IFERROR(VLOOKUP("Am-241",$A$4:$L$32,6)/$B34,0)</f>
        <v>2.4235506459460471E-3</v>
      </c>
      <c r="G34" s="71">
        <f>IFERROR(VLOOKUP("Am-241",$A$4:$L$32,7)/$B34,0)</f>
        <v>6.3592343491261332</v>
      </c>
      <c r="H34" s="72">
        <f>IFERROR(IF(AND(F34&lt;&gt;0,G34&lt;&gt;0),(1/((1/F34)+(1/G34))),IF(AND(F34&lt;&gt;0,G34=0),(1/(1/F34)),IF(AND(F34=0,G34&lt;&gt;0),(1/(1/G34)),0))),0)</f>
        <v>2.422627364967094E-3</v>
      </c>
      <c r="I34" s="70">
        <f>IFERROR(VLOOKUP("Am-241",$A$4:$L$32,9)/$B34,0)</f>
        <v>1.9103379891276589E-11</v>
      </c>
      <c r="J34" s="71">
        <f>IFERROR(VLOOKUP("Am-241",$A$4:$L$32,10)/$B34,0)</f>
        <v>5.012598758446411E-8</v>
      </c>
      <c r="K34" s="71">
        <f>IFERROR(VLOOKUP("Am-241",$A$4:$L$32,11)/$B34,0)</f>
        <v>1.9096102227276943E-11</v>
      </c>
      <c r="L34" s="95">
        <f t="shared" ref="L34:L67" si="59">IF(E34&lt;&gt;".",E34*2.22*100,".")</f>
        <v>14.535764189802553</v>
      </c>
    </row>
    <row r="35" spans="1:12">
      <c r="A35" s="31" t="s">
        <v>176</v>
      </c>
      <c r="B35" s="32">
        <v>1</v>
      </c>
      <c r="C35" s="70">
        <f>IFERROR(VLOOKUP("Np-237",$A$4:$L$32,3)/$B35,0)</f>
        <v>0.12488111436549461</v>
      </c>
      <c r="D35" s="71">
        <f>IFERROR(VLOOKUP("Np-237",$A$4:$L$32,4)/$B35,0)</f>
        <v>153.55705450924847</v>
      </c>
      <c r="E35" s="72">
        <f t="shared" ref="E35:E46" si="60">IFERROR(IF(AND(C35&lt;&gt;0,D35&lt;&gt;0),(1/((1/C35)+(1/D35))),IF(AND(C35&lt;&gt;0,D35=0),(1/(1/C35)),IF(AND(C35=0,D35&lt;&gt;0),(1/(1/D35)),0))),0)</f>
        <v>0.12477963664358874</v>
      </c>
      <c r="F35" s="70">
        <f>IFERROR(VLOOKUP("Np-237",$A$4:$L$32,6)/$B35,0)</f>
        <v>4.6206012315233051E-3</v>
      </c>
      <c r="G35" s="71">
        <f>IFERROR(VLOOKUP("Np-237",$A$4:$L$32,7)/$B35,0)</f>
        <v>5.6816110168421989</v>
      </c>
      <c r="H35" s="72">
        <f t="shared" ref="H35" si="61">IFERROR(IF(AND(F35&lt;&gt;0,G35&lt;&gt;0),(1/((1/F35)+(1/G35))),IF(AND(F35&lt;&gt;0,G35=0),(1/(1/F35)),IF(AND(F35=0,G35&lt;&gt;0),(1/(1/G35)),0))),0)</f>
        <v>4.6168465558127881E-3</v>
      </c>
      <c r="I35" s="70">
        <f>IFERROR(VLOOKUP("Np-237",$A$4:$L$32,9)/$B35,0)</f>
        <v>1.7767565446486814E-7</v>
      </c>
      <c r="J35" s="71">
        <f>IFERROR(VLOOKUP("Np-237",$A$4:$L$32,10)/$B35,0)</f>
        <v>2.1847458918229117E-4</v>
      </c>
      <c r="K35" s="71">
        <f>IFERROR(VLOOKUP("Np-237",$A$4:$L$32,11)/$B35,0)</f>
        <v>1.7753127618361369E-7</v>
      </c>
      <c r="L35" s="95">
        <f t="shared" si="59"/>
        <v>27.701079334876706</v>
      </c>
    </row>
    <row r="36" spans="1:12">
      <c r="A36" s="31" t="s">
        <v>177</v>
      </c>
      <c r="B36" s="32">
        <v>1</v>
      </c>
      <c r="C36" s="70">
        <f>IFERROR(VLOOKUP("Pa-233",$A$4:$L$32,3)/$B36,0)</f>
        <v>13.832587201975077</v>
      </c>
      <c r="D36" s="71">
        <f>IFERROR(VLOOKUP("Pa-233",$A$4:$L$32,4)/$B36,0)</f>
        <v>18.548475891216157</v>
      </c>
      <c r="E36" s="72">
        <f>IFERROR(IF(AND(C36&lt;&gt;0,D36&lt;&gt;0),(1/((1/C36)+(1/D36))),IF(AND(C36&lt;&gt;0,D36=0),(1/(1/C36)),IF(AND(C36=0,D36&lt;&gt;0),(1/(1/D36)),0))),0)</f>
        <v>7.9235635189176223</v>
      </c>
      <c r="F36" s="70">
        <f>IFERROR(VLOOKUP("Pa-233",$A$4:$L$32,6)/$B36,0)</f>
        <v>0.51180572647307832</v>
      </c>
      <c r="G36" s="71">
        <f>IFERROR(VLOOKUP("Pa-233",$A$4:$L$32,7)/$B36,0)</f>
        <v>0.6862936079749985</v>
      </c>
      <c r="H36" s="72">
        <f>IFERROR(IF(AND(F36&lt;&gt;0,G36&lt;&gt;0),(1/((1/F36)+(1/G36))),IF(AND(F36&lt;&gt;0,G36=0),(1/(1/F36)),IF(AND(F36=0,G36&lt;&gt;0),(1/(1/G36)),0))),0)</f>
        <v>0.29317185019995229</v>
      </c>
      <c r="I36" s="70">
        <f>IFERROR(VLOOKUP("Pa-233",$A$4:$L$32,9)/$B36,0)</f>
        <v>6.6674096577797843E-13</v>
      </c>
      <c r="J36" s="71">
        <f>IFERROR(VLOOKUP("Pa-233",$A$4:$L$32,10)/$B36,0)</f>
        <v>8.9405029940119887E-13</v>
      </c>
      <c r="K36" s="71">
        <f>IFERROR(VLOOKUP("Pa-233",$A$4:$L$32,11)/$B36,0)</f>
        <v>3.8192164024470911E-13</v>
      </c>
      <c r="L36" s="95">
        <f t="shared" si="59"/>
        <v>1759.0311011997123</v>
      </c>
    </row>
    <row r="37" spans="1:12">
      <c r="A37" s="31" t="s">
        <v>178</v>
      </c>
      <c r="B37" s="32">
        <v>1</v>
      </c>
      <c r="C37" s="70">
        <f>IFERROR(VLOOKUP("U-233",$A$4:$L$32,3)/$B37,0)</f>
        <v>0.26098201634976409</v>
      </c>
      <c r="D37" s="71">
        <f>IFERROR(VLOOKUP("U-233",$A$4:$L$32,4)/$B37,0)</f>
        <v>7871.4120378690404</v>
      </c>
      <c r="E37" s="72">
        <f t="shared" si="60"/>
        <v>0.2609733636005091</v>
      </c>
      <c r="F37" s="70">
        <f>IFERROR(VLOOKUP("U-233",$A$4:$L$32,6)/$B37,0)</f>
        <v>9.6563346049412819E-3</v>
      </c>
      <c r="G37" s="71">
        <f>IFERROR(VLOOKUP("U-233",$A$4:$L$32,7)/$B37,0)</f>
        <v>291.24224540115478</v>
      </c>
      <c r="H37" s="72">
        <f t="shared" ref="H37:H46" si="62">IFERROR(IF(AND(F37&lt;&gt;0,G37&lt;&gt;0),(1/((1/F37)+(1/G37))),IF(AND(F37&lt;&gt;0,G37=0),(1/(1/F37)),IF(AND(F37=0,G37&lt;&gt;0),(1/(1/G37)),0))),0)</f>
        <v>9.6560144532188488E-3</v>
      </c>
      <c r="I37" s="70">
        <f>IFERROR(VLOOKUP("U-233",$A$4:$L$32,9)/$B37,0)</f>
        <v>2.7106135060680509E-8</v>
      </c>
      <c r="J37" s="71">
        <f>IFERROR(VLOOKUP("U-233",$A$4:$L$32,10)/$B37,0)</f>
        <v>8.1754122679011736E-4</v>
      </c>
      <c r="K37" s="72">
        <f>IFERROR(VLOOKUP("U-233",$A$4:$L$32,11)/$B37,0)</f>
        <v>2.7105236368145165E-8</v>
      </c>
      <c r="L37" s="69">
        <f t="shared" si="59"/>
        <v>57.936086719313032</v>
      </c>
    </row>
    <row r="38" spans="1:12">
      <c r="A38" s="31" t="s">
        <v>179</v>
      </c>
      <c r="B38" s="32">
        <v>1</v>
      </c>
      <c r="C38" s="70">
        <f>IFERROR(VLOOKUP("Th-229",$A$4:$L$32,3)/$B38,0)</f>
        <v>2.6778114703623093E-2</v>
      </c>
      <c r="D38" s="71">
        <f>IFERROR(VLOOKUP("Th-229",$A$4:$L$32,4)/$B38,0)</f>
        <v>48.345704903556936</v>
      </c>
      <c r="E38" s="72">
        <f t="shared" si="60"/>
        <v>2.6763290833059953E-2</v>
      </c>
      <c r="F38" s="70">
        <f>IFERROR(VLOOKUP("Th-229",$A$4:$L$32,6)/$B38,0)</f>
        <v>9.9079024403405541E-4</v>
      </c>
      <c r="G38" s="71">
        <f>IFERROR(VLOOKUP("Th-229",$A$4:$L$32,7)/$B38,0)</f>
        <v>1.7887910814316084</v>
      </c>
      <c r="H38" s="72">
        <f t="shared" si="62"/>
        <v>9.9024176082321909E-4</v>
      </c>
      <c r="I38" s="70">
        <f>IFERROR(VLOOKUP("Th-229",$A$4:$L$32,9)/$B38,0)</f>
        <v>1.2602873326604935E-10</v>
      </c>
      <c r="J38" s="71">
        <f>IFERROR(VLOOKUP("Th-229",$A$4:$L$32,10)/$B38,0)</f>
        <v>2.2753461232373962E-7</v>
      </c>
      <c r="K38" s="72">
        <f>IFERROR(VLOOKUP("Th-229",$A$4:$L$32,11)/$B38,0)</f>
        <v>1.2595896608304005E-10</v>
      </c>
      <c r="L38" s="69">
        <f t="shared" si="59"/>
        <v>5.9414505649393101</v>
      </c>
    </row>
    <row r="39" spans="1:12">
      <c r="A39" s="31" t="s">
        <v>180</v>
      </c>
      <c r="B39" s="32">
        <v>1</v>
      </c>
      <c r="C39" s="70">
        <f>IFERROR(VLOOKUP("Ra-225",$A$4:$L$32,3)/$B39,0)</f>
        <v>0.13415943009144501</v>
      </c>
      <c r="D39" s="71">
        <f>IFERROR(VLOOKUP("Ra-225",$A$4:$L$32,4)/$B39,0)</f>
        <v>340.61746636596939</v>
      </c>
      <c r="E39" s="72">
        <f t="shared" si="60"/>
        <v>0.13410660935246713</v>
      </c>
      <c r="F39" s="70">
        <f>IFERROR(VLOOKUP("Ra-225",$A$4:$L$32,6)/$B39,0)</f>
        <v>4.9638989133834709E-3</v>
      </c>
      <c r="G39" s="71">
        <f>IFERROR(VLOOKUP("Ra-225",$A$4:$L$32,7)/$B39,0)</f>
        <v>12.60284625554088</v>
      </c>
      <c r="H39" s="72">
        <f t="shared" si="62"/>
        <v>4.9619445460412888E-3</v>
      </c>
      <c r="I39" s="70">
        <f>IFERROR(VLOOKUP("Ra-225",$A$4:$L$32,9)/$B39,0)</f>
        <v>3.4502864938859968E-15</v>
      </c>
      <c r="J39" s="71">
        <f>IFERROR(VLOOKUP("Ra-225",$A$4:$L$32,10)/$B39,0)</f>
        <v>8.7599346761023031E-12</v>
      </c>
      <c r="K39" s="72">
        <f>IFERROR(VLOOKUP("Ra-225",$A$4:$L$32,11)/$B39,0)</f>
        <v>3.4489280602509684E-15</v>
      </c>
      <c r="L39" s="69">
        <f t="shared" si="59"/>
        <v>29.771667276247705</v>
      </c>
    </row>
    <row r="40" spans="1:12">
      <c r="A40" s="31" t="s">
        <v>181</v>
      </c>
      <c r="B40" s="32">
        <v>1</v>
      </c>
      <c r="C40" s="70">
        <f>IFERROR(VLOOKUP("Ac-225",$A$4:$L$32,3)/$B40,0)</f>
        <v>0.34617303723077525</v>
      </c>
      <c r="D40" s="71">
        <f>IFERROR(VLOOKUP("Ac-225",$A$4:$L$32,4)/$B40,0)</f>
        <v>283.84788863830778</v>
      </c>
      <c r="E40" s="72">
        <f t="shared" si="60"/>
        <v>0.34575136842109266</v>
      </c>
      <c r="F40" s="70">
        <f>IFERROR(VLOOKUP("Ac-225",$A$4:$L$32,6)/$B40,0)</f>
        <v>1.2808402377538696E-2</v>
      </c>
      <c r="G40" s="71">
        <f>IFERROR(VLOOKUP("Ac-225",$A$4:$L$32,7)/$B40,0)</f>
        <v>10.502371879617398</v>
      </c>
      <c r="H40" s="72">
        <f t="shared" si="62"/>
        <v>1.2792800631580441E-2</v>
      </c>
      <c r="I40" s="70">
        <f>IFERROR(VLOOKUP("Ac-225",$A$4:$L$32,9)/$B40,0)</f>
        <v>5.9750414645312761E-15</v>
      </c>
      <c r="J40" s="71">
        <f>IFERROR(VLOOKUP("Ac-225",$A$4:$L$32,10)/$B40,0)</f>
        <v>4.8992923244420957E-12</v>
      </c>
      <c r="K40" s="72">
        <f>IFERROR(VLOOKUP("Ac-225",$A$4:$L$32,11)/$B40,0)</f>
        <v>5.9677633453504546E-15</v>
      </c>
      <c r="L40" s="69">
        <f t="shared" si="59"/>
        <v>76.756803789482575</v>
      </c>
    </row>
    <row r="41" spans="1:12">
      <c r="A41" s="31" t="s">
        <v>182</v>
      </c>
      <c r="B41" s="32">
        <v>1</v>
      </c>
      <c r="C41" s="70">
        <f>IFERROR(VLOOKUP("Fr-221",$A$4:$L$32,3)/$B41,0)</f>
        <v>0</v>
      </c>
      <c r="D41" s="71">
        <f>IFERROR(VLOOKUP("Fr-221",$A$4:$L$32,4)/$B41,0)</f>
        <v>139.28595278905811</v>
      </c>
      <c r="E41" s="72">
        <f t="shared" si="60"/>
        <v>139.28595278905811</v>
      </c>
      <c r="F41" s="70">
        <f>IFERROR(VLOOKUP("Fr-221",$A$4:$L$32,6)/$B41,0)</f>
        <v>0</v>
      </c>
      <c r="G41" s="71">
        <f>IFERROR(VLOOKUP("Fr-221",$A$4:$L$32,7)/$B41,0)</f>
        <v>5.1535802531951553</v>
      </c>
      <c r="H41" s="72">
        <f t="shared" si="62"/>
        <v>5.1535802531951553</v>
      </c>
      <c r="I41" s="70">
        <f>IFERROR(VLOOKUP("Fr-221",$A$4:$L$32,9)/$B41,0)</f>
        <v>0</v>
      </c>
      <c r="J41" s="71">
        <f>IFERROR(VLOOKUP("Fr-221",$A$4:$L$32,10)/$B41,0)</f>
        <v>8.0352306539337804E-16</v>
      </c>
      <c r="K41" s="72">
        <f>IFERROR(VLOOKUP("Fr-221",$A$4:$L$32,11)/$B41,0)</f>
        <v>8.0352306539337804E-16</v>
      </c>
      <c r="L41" s="69">
        <f t="shared" si="59"/>
        <v>30921.481519170902</v>
      </c>
    </row>
    <row r="42" spans="1:12">
      <c r="A42" s="31" t="s">
        <v>183</v>
      </c>
      <c r="B42" s="32">
        <v>1</v>
      </c>
      <c r="C42" s="70">
        <f>IFERROR(VLOOKUP("At-217",$A$4:$L$32,3)/$B42,0)</f>
        <v>0</v>
      </c>
      <c r="D42" s="71">
        <f>IFERROR(VLOOKUP("At-217",$A$4:$L$32,4)/$B42,0)</f>
        <v>16505.692202756221</v>
      </c>
      <c r="E42" s="72">
        <f t="shared" si="60"/>
        <v>16505.692202756221</v>
      </c>
      <c r="F42" s="70">
        <f>IFERROR(VLOOKUP("At-217",$A$4:$L$32,6)/$B42,0)</f>
        <v>0</v>
      </c>
      <c r="G42" s="71">
        <f>IFERROR(VLOOKUP("At-217",$A$4:$L$32,7)/$B42,0)</f>
        <v>610.71061150198079</v>
      </c>
      <c r="H42" s="72">
        <f t="shared" si="62"/>
        <v>610.71061150198079</v>
      </c>
      <c r="I42" s="70">
        <f>IFERROR(VLOOKUP("At-217",$A$4:$L$32,9)/$B42,0)</f>
        <v>0</v>
      </c>
      <c r="J42" s="71">
        <f>IFERROR(VLOOKUP("At-217",$A$4:$L$32,10)/$B42,0)</f>
        <v>1.0271820529279219E-17</v>
      </c>
      <c r="K42" s="72">
        <f>IFERROR(VLOOKUP("At-217",$A$4:$L$32,11)/$B42,0)</f>
        <v>1.0271820529279219E-17</v>
      </c>
      <c r="L42" s="69">
        <f t="shared" si="59"/>
        <v>3664263.6690118816</v>
      </c>
    </row>
    <row r="43" spans="1:12">
      <c r="A43" s="31" t="s">
        <v>184</v>
      </c>
      <c r="B43" s="33">
        <v>0.99987999999999999</v>
      </c>
      <c r="C43" s="70">
        <f>IFERROR(VLOOKUP("Bi-213",$A$4:$L$32,3)/$B43,0)</f>
        <v>67.494358096243886</v>
      </c>
      <c r="D43" s="71">
        <f>IFERROR(VLOOKUP("Bi-213",$A$4:$L$32,4)/$B43,0)</f>
        <v>22.849035360009438</v>
      </c>
      <c r="E43" s="72">
        <f t="shared" si="60"/>
        <v>17.070213058677954</v>
      </c>
      <c r="F43" s="70">
        <f>IFERROR(VLOOKUP("Bi-213",$A$4:$L$32,6)/$B43,0)</f>
        <v>2.4972912495610267</v>
      </c>
      <c r="G43" s="71">
        <f>IFERROR(VLOOKUP("Bi-213",$A$4:$L$32,7)/$B43,0)</f>
        <v>0.84541430832035014</v>
      </c>
      <c r="H43" s="72">
        <f t="shared" si="62"/>
        <v>0.63159788317108501</v>
      </c>
      <c r="I43" s="70">
        <f>IFERROR(VLOOKUP("Bi-213",$A$4:$L$32,9)/$B43,0)</f>
        <v>3.4915586517056223E-15</v>
      </c>
      <c r="J43" s="71">
        <f>IFERROR(VLOOKUP("Bi-213",$A$4:$L$32,10)/$B43,0)</f>
        <v>1.1820061608795179E-15</v>
      </c>
      <c r="K43" s="72">
        <f>IFERROR(VLOOKUP("Bi-213",$A$4:$L$32,11)/$B43,0)</f>
        <v>8.8306121833910974E-16</v>
      </c>
      <c r="L43" s="69">
        <f t="shared" si="59"/>
        <v>3789.5872990265061</v>
      </c>
    </row>
    <row r="44" spans="1:12">
      <c r="A44" s="31" t="s">
        <v>185</v>
      </c>
      <c r="B44" s="32">
        <v>0.97898250799999997</v>
      </c>
      <c r="C44" s="70">
        <f>IFERROR(VLOOKUP("Po-213",$A$4:$L$32,3)/$B44,0)</f>
        <v>0</v>
      </c>
      <c r="D44" s="71">
        <f>IFERROR(VLOOKUP("Po-213",$A$4:$L$32,4)/$B44,0)</f>
        <v>107205.34804991688</v>
      </c>
      <c r="E44" s="72">
        <f t="shared" si="60"/>
        <v>107205.34804991687</v>
      </c>
      <c r="F44" s="70">
        <f>IFERROR(VLOOKUP("Po-213",$A$4:$L$32,6)/$B44,0)</f>
        <v>0</v>
      </c>
      <c r="G44" s="71">
        <f>IFERROR(VLOOKUP("Po-213",$A$4:$L$32,7)/$B44,0)</f>
        <v>3966.5978778469284</v>
      </c>
      <c r="H44" s="72">
        <f t="shared" si="62"/>
        <v>3966.5978778469284</v>
      </c>
      <c r="I44" s="70">
        <f>IFERROR(VLOOKUP("Po-213",$A$4:$L$32,9)/$B44,0)</f>
        <v>0</v>
      </c>
      <c r="J44" s="71">
        <f>IFERROR(VLOOKUP("Po-213",$A$4:$L$32,10)/$B44,0)</f>
        <v>8.5152375768414905E-21</v>
      </c>
      <c r="K44" s="72">
        <f>IFERROR(VLOOKUP("Po-213",$A$4:$L$32,11)/$B44,0)</f>
        <v>8.5152375768414905E-21</v>
      </c>
      <c r="L44" s="69">
        <f t="shared" si="59"/>
        <v>23799587.267081548</v>
      </c>
    </row>
    <row r="45" spans="1:12">
      <c r="A45" s="31" t="s">
        <v>186</v>
      </c>
      <c r="B45" s="32">
        <v>2.0897492E-2</v>
      </c>
      <c r="C45" s="70">
        <f>IFERROR(VLOOKUP("Tl-209",$A$4:$L$32,3)/$B45,0)</f>
        <v>0</v>
      </c>
      <c r="D45" s="71">
        <f>IFERROR(VLOOKUP("Tl-209",$A$4:$L$32,4)/$B45,0)</f>
        <v>88.759339595469882</v>
      </c>
      <c r="E45" s="72">
        <f t="shared" si="60"/>
        <v>88.759339595469882</v>
      </c>
      <c r="F45" s="70">
        <f>IFERROR(VLOOKUP("Tl-209",$A$4:$L$32,6)/$B45,0)</f>
        <v>0</v>
      </c>
      <c r="G45" s="71">
        <f>IFERROR(VLOOKUP("Tl-209",$A$4:$L$32,7)/$B45,0)</f>
        <v>3.2840955650323891</v>
      </c>
      <c r="H45" s="72">
        <f t="shared" si="62"/>
        <v>3.2840955650323891</v>
      </c>
      <c r="I45" s="70">
        <f>IFERROR(VLOOKUP("Tl-209",$A$4:$L$32,9)/$B45,0)</f>
        <v>0</v>
      </c>
      <c r="J45" s="71">
        <f>IFERROR(VLOOKUP("Tl-209",$A$4:$L$32,10)/$B45,0)</f>
        <v>2.1355895645561611E-16</v>
      </c>
      <c r="K45" s="72">
        <f>IFERROR(VLOOKUP("Tl-209",$A$4:$L$32,11)/$B45,0)</f>
        <v>2.1355895645561611E-16</v>
      </c>
      <c r="L45" s="69">
        <f t="shared" si="59"/>
        <v>19704.573390194317</v>
      </c>
    </row>
    <row r="46" spans="1:12">
      <c r="A46" s="31" t="s">
        <v>187</v>
      </c>
      <c r="B46" s="32">
        <v>0.99987999999999999</v>
      </c>
      <c r="C46" s="70">
        <f>IFERROR(VLOOKUP("Pb-209",$A$4:$L$32,3)/$B46,0)</f>
        <v>235.6945838281533</v>
      </c>
      <c r="D46" s="71">
        <f>IFERROR(VLOOKUP("Pb-209",$A$4:$L$32,4)/$B46,0)</f>
        <v>1305.2043883808947</v>
      </c>
      <c r="E46" s="72">
        <f t="shared" si="60"/>
        <v>199.64294264476891</v>
      </c>
      <c r="F46" s="70">
        <f>IFERROR(VLOOKUP("Pb-209",$A$4:$L$32,6)/$B46,0)</f>
        <v>8.7206996016416802</v>
      </c>
      <c r="G46" s="71">
        <f>IFERROR(VLOOKUP("Pb-209",$A$4:$L$32,7)/$B46,0)</f>
        <v>48.292562370093144</v>
      </c>
      <c r="H46" s="72">
        <f t="shared" si="62"/>
        <v>7.386788877856457</v>
      </c>
      <c r="I46" s="70">
        <f>IFERROR(VLOOKUP("Pb-209",$A$4:$L$32,9)/$B46,0)</f>
        <v>5.1219328127184146E-14</v>
      </c>
      <c r="J46" s="71">
        <f>IFERROR(VLOOKUP("Pb-209",$A$4:$L$32,10)/$B46,0)</f>
        <v>2.8363694555774688E-13</v>
      </c>
      <c r="K46" s="72">
        <f>IFERROR(VLOOKUP("Pb-209",$A$4:$L$32,11)/$B46,0)</f>
        <v>4.3384863671939819E-14</v>
      </c>
      <c r="L46" s="69">
        <f t="shared" si="59"/>
        <v>44320.733267138698</v>
      </c>
    </row>
    <row r="47" spans="1:12">
      <c r="A47" s="30" t="s">
        <v>17</v>
      </c>
      <c r="B47" s="30" t="s">
        <v>59</v>
      </c>
      <c r="C47" s="76">
        <f>IFERROR(1/SUM(1/C48),0)</f>
        <v>0.98252053214028845</v>
      </c>
      <c r="D47" s="77">
        <f>IFERROR(1/SUM(1/D48,1/D49),0)</f>
        <v>6.8395554623263228</v>
      </c>
      <c r="E47" s="78">
        <f>IFERROR(1/SUM(1/E48,1/E49),".")</f>
        <v>0.85910743863926275</v>
      </c>
      <c r="F47" s="76">
        <f>IFERROR(1/SUM(1/F48),0)</f>
        <v>3.635325968919071E-2</v>
      </c>
      <c r="G47" s="77">
        <f>IFERROR(1/SUM(1/G48,1/G49),0)</f>
        <v>0.25306355210607417</v>
      </c>
      <c r="H47" s="78">
        <f>IFERROR(1/SUM(1/H48,1/H49),".")</f>
        <v>3.1786975229652757E-2</v>
      </c>
      <c r="I47" s="73">
        <f>IFERROR(C47*Isospec!$C$11*Isospec!$F$11*SSLcm_m,".")</f>
        <v>1.1369825417671599E-11</v>
      </c>
      <c r="J47" s="74">
        <f>IFERROR(D47*Isospec!$C$11*Isospec!$F$11*SSLcm_m,".")</f>
        <v>7.9148016756182044E-11</v>
      </c>
      <c r="K47" s="75">
        <f>IFERROR(E47*Isospec!$C$11*Isospec!$F$11*SSLcm_m,".")</f>
        <v>9.9416768126701406E-12</v>
      </c>
      <c r="L47" s="68">
        <f t="shared" si="59"/>
        <v>190.72185137791635</v>
      </c>
    </row>
    <row r="48" spans="1:12">
      <c r="A48" s="31" t="s">
        <v>188</v>
      </c>
      <c r="B48" s="32">
        <v>1</v>
      </c>
      <c r="C48" s="70">
        <f>IFERROR(VLOOKUP("Cs-137",$A$4:$L$32,3)/$B48,0)</f>
        <v>0.98252053214028845</v>
      </c>
      <c r="D48" s="71">
        <f>IFERROR(VLOOKUP("Cs-137",$A$4:$L$32,4)/$B48,0)</f>
        <v>1197.0581885066017</v>
      </c>
      <c r="E48" s="72">
        <f>IFERROR(IF(AND(C48&lt;&gt;0,D48&lt;&gt;0),(1/((1/C48)+(1/D48))),IF(AND(C48&lt;&gt;0,D48=0),(1/(1/C48)),IF(AND(C48=0,D48&lt;&gt;0),(1/(1/D48)),0))),0)</f>
        <v>0.98171476102684119</v>
      </c>
      <c r="F48" s="70">
        <f>IFERROR(VLOOKUP("Cs-137",$A$4:$L$32,6)/$B48,0)</f>
        <v>3.635325968919071E-2</v>
      </c>
      <c r="G48" s="71">
        <f>IFERROR(VLOOKUP("Cs-137",$A$4:$L$32,7)/$B48,0)</f>
        <v>44.291152974744307</v>
      </c>
      <c r="H48" s="72">
        <f>IFERROR(IF(AND(F48&lt;&gt;0,G48&lt;&gt;0),(1/((1/F48)+(1/G48))),IF(AND(F48&lt;&gt;0,G48=0),(1/(1/F48)),IF(AND(F48=0,G48&lt;&gt;0),(1/(1/G48)),0))),0)</f>
        <v>3.6323446157993163E-2</v>
      </c>
      <c r="I48" s="70">
        <f>IFERROR(VLOOKUP("Cs-137",$A$4:$L$32,9)/$B48,0)</f>
        <v>1.1369825417671599E-11</v>
      </c>
      <c r="J48" s="71">
        <f>IFERROR(VLOOKUP("Cs-137",$A$4:$L$32,10)/$B48,0)</f>
        <v>1.3852476536511642E-8</v>
      </c>
      <c r="K48" s="72">
        <f>IFERROR(VLOOKUP("Cs-137",$A$4:$L$32,11)/$B48,0)</f>
        <v>1.1360500954124216E-11</v>
      </c>
      <c r="L48" s="69">
        <f t="shared" si="59"/>
        <v>217.94067694795876</v>
      </c>
    </row>
    <row r="49" spans="1:12">
      <c r="A49" s="31" t="s">
        <v>189</v>
      </c>
      <c r="B49" s="32">
        <v>0.94399</v>
      </c>
      <c r="C49" s="70">
        <f>IFERROR(VLOOKUP("Ba-137m",$A$4:$L$32,3)/$B49,0)</f>
        <v>0</v>
      </c>
      <c r="D49" s="71">
        <f>IFERROR(VLOOKUP("Ba-137m",$A$4:$L$32,4)/$B49,0)</f>
        <v>6.8788587614206973</v>
      </c>
      <c r="E49" s="72">
        <f>IFERROR(IF(AND(C49&lt;&gt;0,D49&lt;&gt;0),(1/((1/C49)+(1/D49))),IF(AND(C49&lt;&gt;0,D49=0),(1/(1/C49)),IF(AND(C49=0,D49&lt;&gt;0),(1/(1/D49)),0))),0)</f>
        <v>6.8788587614206973</v>
      </c>
      <c r="F49" s="70">
        <f>IFERROR(VLOOKUP("Ba-137m",$A$4:$L$32,6)/$B49,0)</f>
        <v>0</v>
      </c>
      <c r="G49" s="71">
        <f>IFERROR(VLOOKUP("Ba-137m",$A$4:$L$32,7)/$B49,0)</f>
        <v>0.25451777417256605</v>
      </c>
      <c r="H49" s="72">
        <f>IFERROR(IF(AND(F49&lt;&gt;0,G49&lt;&gt;0),(1/((1/F49)+(1/G49))),IF(AND(F49&lt;&gt;0,G49=0),(1/(1/F49)),IF(AND(F49=0,G49&lt;&gt;0),(1/(1/G49)),0))),0)</f>
        <v>0.25451777417256605</v>
      </c>
      <c r="I49" s="70">
        <f>IFERROR(VLOOKUP("Ba-137m",$A$4:$L$32,9)/$B49,0)</f>
        <v>0</v>
      </c>
      <c r="J49" s="71">
        <f>IFERROR(VLOOKUP("Ba-137m",$A$4:$L$32,10)/$B49,0)</f>
        <v>1.2812099550396144E-17</v>
      </c>
      <c r="K49" s="72">
        <f>IFERROR(VLOOKUP("Ba-137m",$A$4:$L$32,11)/$B49,0)</f>
        <v>1.2812099550396144E-17</v>
      </c>
      <c r="L49" s="69">
        <f t="shared" si="59"/>
        <v>1527.1066450353949</v>
      </c>
    </row>
    <row r="50" spans="1:12">
      <c r="A50" s="30" t="s">
        <v>27</v>
      </c>
      <c r="B50" s="30" t="s">
        <v>59</v>
      </c>
      <c r="C50" s="76">
        <f>IFERROR(1/SUM(1/C51,1/C56,1/C57,1/C60,1/C61,1/C62),0)</f>
        <v>6.1083002517669203E-3</v>
      </c>
      <c r="D50" s="77">
        <f>IFERROR(1/SUM(1/D51,1/D52,1/D53,1/D56,1/D54,1/D57,1/D55,1/D58,1/D59,1/D60,1/D61,1/D63,1/D62,1/D64),0)</f>
        <v>2.1937806982465333</v>
      </c>
      <c r="E50" s="78">
        <f>IFERROR(1/SUM(1/E51,1/E52,1/E53,1/E56,1/E54,1/E57,1/E55,1/E58,1/E59,1/E60,1/E61,1/E63,1/E62,1/E64),0)</f>
        <v>6.091339699670335E-3</v>
      </c>
      <c r="F50" s="76">
        <f>IFERROR(1/SUM(1/F51,1/F56,1/F57,1/F60,1/F61,1/F62),0)</f>
        <v>2.260071093153763E-4</v>
      </c>
      <c r="G50" s="77">
        <f>IFERROR(1/SUM(1/G51,1/G52,1/G53,1/G56,1/G54,1/G57,1/G55,1/G58,1/G59,1/G60,1/G61,1/G63,1/G62,1/G64),0)</f>
        <v>8.1169885835121788E-2</v>
      </c>
      <c r="H50" s="78">
        <f>IFERROR(1/SUM(1/H51,1/H52,1/H53,1/H56,1/H54,1/H57,1/H55,1/H58,1/H59,1/H60,1/H61,1/H63,1/H62,1/H64),0)</f>
        <v>2.2537956888780256E-4</v>
      </c>
      <c r="I50" s="73">
        <f>IFERROR(C50*Isospec!$C$24*Isospec!$F$24*SSLcm_m,".")</f>
        <v>6.1845318389089713E-12</v>
      </c>
      <c r="J50" s="74">
        <f>IFERROR(D50*Isospec!$C$24*Isospec!$F$24*SSLcm_m,".")</f>
        <v>2.2211590813606499E-9</v>
      </c>
      <c r="K50" s="75">
        <f>IFERROR(E50*Isospec!$C$24*Isospec!$F$24*SSLcm_m,".")</f>
        <v>6.1673596191222208E-12</v>
      </c>
      <c r="L50" s="68">
        <f t="shared" si="59"/>
        <v>1.3522774133268145</v>
      </c>
    </row>
    <row r="51" spans="1:12">
      <c r="A51" s="31" t="s">
        <v>190</v>
      </c>
      <c r="B51" s="32">
        <v>1</v>
      </c>
      <c r="C51" s="70">
        <f>IFERROR(VLOOKUP("Ra-226",$A$4:$L$32,3)/$B51,0)</f>
        <v>4.7722425846814007E-2</v>
      </c>
      <c r="D51" s="71">
        <f>IFERROR(VLOOKUP("Ra-226",$A$4:$L$32,4)/$B51,0)</f>
        <v>560.89702545294369</v>
      </c>
      <c r="E51" s="72">
        <f t="shared" ref="E51:E64" si="63">IFERROR(IF(AND(C51&lt;&gt;0,D51&lt;&gt;0),(1/((1/C51)+(1/D51))),IF(AND(C51&lt;&gt;0,D51=0),(1/(1/C51)),IF(AND(C51=0,D51&lt;&gt;0),(1/(1/D51)),0))),0)</f>
        <v>4.7718365857060442E-2</v>
      </c>
      <c r="F51" s="70">
        <f>IFERROR(VLOOKUP("Ra-226",$A$4:$L$32,6)/$B51,0)</f>
        <v>1.7657297563321199E-3</v>
      </c>
      <c r="G51" s="71">
        <f>IFERROR(VLOOKUP("Ra-226",$A$4:$L$32,7)/$B51,0)</f>
        <v>20.753189941758936</v>
      </c>
      <c r="H51" s="72">
        <f t="shared" ref="H51:H64" si="64">IFERROR(IF(AND(F51&lt;&gt;0,G51&lt;&gt;0),(1/((1/F51)+(1/G51))),IF(AND(F51&lt;&gt;0,G51=0),(1/(1/F51)),IF(AND(F51=0,G51&lt;&gt;0),(1/(1/G51)),0))),0)</f>
        <v>1.7655795367112379E-3</v>
      </c>
      <c r="I51" s="70">
        <f>IFERROR(VLOOKUP("Ra-226",$A$4:$L$32,9)/$B51,0)</f>
        <v>4.8318001721382245E-11</v>
      </c>
      <c r="J51" s="71">
        <f>IFERROR(VLOOKUP("Ra-226",$A$4:$L$32,10)/$B51,0)</f>
        <v>5.6789702033059652E-7</v>
      </c>
      <c r="K51" s="72">
        <f>IFERROR(VLOOKUP("Ra-226",$A$4:$L$32,11)/$B51,0)</f>
        <v>4.8313891062956558E-11</v>
      </c>
      <c r="L51" s="69">
        <f t="shared" si="59"/>
        <v>10.593477220267419</v>
      </c>
    </row>
    <row r="52" spans="1:12">
      <c r="A52" s="31" t="s">
        <v>191</v>
      </c>
      <c r="B52" s="32">
        <v>1</v>
      </c>
      <c r="C52" s="70">
        <f>IFERROR(VLOOKUP("Rn-222",$A$4:$L$32,3)/$B52,0)</f>
        <v>0</v>
      </c>
      <c r="D52" s="71">
        <f>IFERROR(VLOOKUP("Rn-222",$A$4:$L$32,4)/$B52,0)</f>
        <v>10072.021854907698</v>
      </c>
      <c r="E52" s="72">
        <f t="shared" si="63"/>
        <v>10072.021854907698</v>
      </c>
      <c r="F52" s="70">
        <f>IFERROR(VLOOKUP("Rn-222",$A$4:$L$32,6)/$B52,0)</f>
        <v>0</v>
      </c>
      <c r="G52" s="71">
        <f>IFERROR(VLOOKUP("Rn-222",$A$4:$L$32,7)/$B52,0)</f>
        <v>372.66480863158523</v>
      </c>
      <c r="H52" s="72">
        <f t="shared" si="64"/>
        <v>372.66480863158523</v>
      </c>
      <c r="I52" s="70">
        <f>IFERROR(VLOOKUP("Rn-222",$A$4:$L$32,9)/$B52,0)</f>
        <v>0</v>
      </c>
      <c r="J52" s="71">
        <f>IFERROR(VLOOKUP("Rn-222",$A$4:$L$32,10)/$B52,0)</f>
        <v>6.5583697121882623E-11</v>
      </c>
      <c r="K52" s="72">
        <f>IFERROR(VLOOKUP("Rn-222",$A$4:$L$32,11)/$B52,0)</f>
        <v>6.5583697121882623E-11</v>
      </c>
      <c r="L52" s="69">
        <f t="shared" si="59"/>
        <v>2235988.8517895089</v>
      </c>
    </row>
    <row r="53" spans="1:12">
      <c r="A53" s="31" t="s">
        <v>192</v>
      </c>
      <c r="B53" s="32">
        <v>1</v>
      </c>
      <c r="C53" s="70">
        <f>IFERROR(VLOOKUP("Po-218",$A$4:$L$32,3)/$B53,0)</f>
        <v>0</v>
      </c>
      <c r="D53" s="71">
        <f>IFERROR(VLOOKUP("Po-218",$A$4:$L$32,4)/$B53,0)</f>
        <v>626030431.08198214</v>
      </c>
      <c r="E53" s="72">
        <f t="shared" si="63"/>
        <v>626030431.08198214</v>
      </c>
      <c r="F53" s="70">
        <f>IFERROR(VLOOKUP("Po-218",$A$4:$L$32,6)/$B53,0)</f>
        <v>0</v>
      </c>
      <c r="G53" s="71">
        <f>IFERROR(VLOOKUP("Po-218",$A$4:$L$32,7)/$B53,0)</f>
        <v>23163125.950033363</v>
      </c>
      <c r="H53" s="72">
        <f t="shared" si="64"/>
        <v>23163125.950033363</v>
      </c>
      <c r="I53" s="70">
        <f>IFERROR(VLOOKUP("Po-218",$A$4:$L$32,9)/$B53,0)</f>
        <v>0</v>
      </c>
      <c r="J53" s="71">
        <f>IFERROR(VLOOKUP("Po-218",$A$4:$L$32,10)/$B53,0)</f>
        <v>2.2538048381099075E-9</v>
      </c>
      <c r="K53" s="72">
        <f>IFERROR(VLOOKUP("Po-218",$A$4:$L$32,11)/$B53,0)</f>
        <v>2.2538048381099075E-9</v>
      </c>
      <c r="L53" s="69">
        <f t="shared" si="59"/>
        <v>138978755700.20004</v>
      </c>
    </row>
    <row r="54" spans="1:12">
      <c r="A54" s="31" t="s">
        <v>194</v>
      </c>
      <c r="B54" s="32">
        <v>2.0000000000000001E-4</v>
      </c>
      <c r="C54" s="70">
        <f>IFERROR(VLOOKUP("At-218",$A$4:$L$32,3)/$B54,0)</f>
        <v>0</v>
      </c>
      <c r="D54" s="71">
        <f>IFERROR(VLOOKUP("At-218",$A$4:$L$32,4)/$B54,0)</f>
        <v>166524094.66780725</v>
      </c>
      <c r="E54" s="72">
        <f>IFERROR(IF(AND(C54&lt;&gt;0,D54&lt;&gt;0),(1/((1/C54)+(1/D54))),IF(AND(C54&lt;&gt;0,D54=0),(1/(1/C54)),IF(AND(C54=0,D54&lt;&gt;0),(1/(1/D54)),0))),0)</f>
        <v>166524094.66780725</v>
      </c>
      <c r="F54" s="70">
        <f>IFERROR(VLOOKUP("At-218",$A$4:$L$32,6)/$B54,0)</f>
        <v>0</v>
      </c>
      <c r="G54" s="71">
        <f>IFERROR(VLOOKUP("At-218",$A$4:$L$32,7)/$B54,0)</f>
        <v>6161391.5027088746</v>
      </c>
      <c r="H54" s="72">
        <f>IFERROR(IF(AND(F54&lt;&gt;0,G54&lt;&gt;0),(1/((1/F54)+(1/G54))),IF(AND(F54&lt;&gt;0,G54=0),(1/(1/F54)),IF(AND(F54=0,G54&lt;&gt;0),(1/(1/G54)),0))),0)</f>
        <v>6161391.5027088746</v>
      </c>
      <c r="I54" s="70">
        <f>IFERROR(VLOOKUP("At-218",$A$4:$L$32,9)/$B54,0)</f>
        <v>0</v>
      </c>
      <c r="J54" s="71">
        <f>IFERROR(VLOOKUP("At-218",$A$4:$L$32,10)/$B54,0)</f>
        <v>4.8347748946551462E-12</v>
      </c>
      <c r="K54" s="72">
        <f>IFERROR(VLOOKUP("At-218",$A$4:$L$32,11)/$B54,0)</f>
        <v>4.8347748946551462E-12</v>
      </c>
      <c r="L54" s="69">
        <f>IF(E54&lt;&gt;".",E54*2.22*100,".")</f>
        <v>36968349016.253212</v>
      </c>
    </row>
    <row r="55" spans="1:12">
      <c r="A55" s="31" t="s">
        <v>196</v>
      </c>
      <c r="B55" s="32">
        <v>1.9999999999999999E-7</v>
      </c>
      <c r="C55" s="70">
        <f>IFERROR(VLOOKUP("Rn-218",$A$4:$L$32,3)/$B55,0)</f>
        <v>0</v>
      </c>
      <c r="D55" s="71">
        <f>IFERROR(VLOOKUP("Rn-218",$A$4:$L$32,4)/$B55,0)</f>
        <v>25875636257.083309</v>
      </c>
      <c r="E55" s="72">
        <f>IFERROR(IF(AND(C55&lt;&gt;0,D55&lt;&gt;0),(1/((1/C55)+(1/D55))),IF(AND(C55&lt;&gt;0,D55=0),(1/(1/C55)),IF(AND(C55=0,D55&lt;&gt;0),(1/(1/D55)),0))),0)</f>
        <v>25875636257.083309</v>
      </c>
      <c r="F55" s="70">
        <f>IFERROR(VLOOKUP("Rn-218",$A$4:$L$32,6)/$B55,0)</f>
        <v>0</v>
      </c>
      <c r="G55" s="71">
        <f>IFERROR(VLOOKUP("Rn-218",$A$4:$L$32,7)/$B55,0)</f>
        <v>957398541.51208341</v>
      </c>
      <c r="H55" s="72">
        <f>IFERROR(IF(AND(F55&lt;&gt;0,G55&lt;&gt;0),(1/((1/F55)+(1/G55))),IF(AND(F55&lt;&gt;0,G55=0),(1/(1/F55)),IF(AND(F55=0,G55&lt;&gt;0),(1/(1/G55)),0))),0)</f>
        <v>957398541.51208329</v>
      </c>
      <c r="I55" s="70">
        <f>IFERROR(VLOOKUP("Rn-218",$A$4:$L$32,9)/$B55,0)</f>
        <v>0</v>
      </c>
      <c r="J55" s="71">
        <f>IFERROR(VLOOKUP("Rn-218",$A$4:$L$32,10)/$B55,0)</f>
        <v>1.7529397926063784E-11</v>
      </c>
      <c r="K55" s="72">
        <f>IFERROR(VLOOKUP("Rn-218",$A$4:$L$32,11)/$B55,0)</f>
        <v>1.7529397926063784E-11</v>
      </c>
      <c r="L55" s="69">
        <f>IF(E55&lt;&gt;".",E55*2.22*100,".")</f>
        <v>5744391249072.4951</v>
      </c>
    </row>
    <row r="56" spans="1:12">
      <c r="A56" s="31" t="s">
        <v>193</v>
      </c>
      <c r="B56" s="32">
        <v>0.99980000000000002</v>
      </c>
      <c r="C56" s="70">
        <f>IFERROR(VLOOKUP("Pb-214",$A$4:$L$32,3)/$B56,0)</f>
        <v>96.150735450024698</v>
      </c>
      <c r="D56" s="71">
        <f>IFERROR(VLOOKUP("Pb-214",$A$4:$L$32,4)/$B56,0)</f>
        <v>15.421982050836764</v>
      </c>
      <c r="E56" s="72">
        <f t="shared" si="63"/>
        <v>13.29030025887454</v>
      </c>
      <c r="F56" s="70">
        <f>IFERROR(VLOOKUP("Pb-214",$A$4:$L$32,6)/$B56,0)</f>
        <v>3.5575772116509174</v>
      </c>
      <c r="G56" s="71">
        <f>IFERROR(VLOOKUP("Pb-214",$A$4:$L$32,7)/$B56,0)</f>
        <v>0.57061333588096086</v>
      </c>
      <c r="H56" s="72">
        <f t="shared" si="64"/>
        <v>0.49174110957835854</v>
      </c>
      <c r="I56" s="70">
        <f>IFERROR(VLOOKUP("Pb-214",$A$4:$L$32,9)/$B56,0)</f>
        <v>2.9376757120782624E-15</v>
      </c>
      <c r="J56" s="71">
        <f>IFERROR(VLOOKUP("Pb-214",$A$4:$L$32,10)/$B56,0)</f>
        <v>4.7118497732550041E-16</v>
      </c>
      <c r="K56" s="72">
        <f>IFERROR(VLOOKUP("Pb-214",$A$4:$L$32,11)/$B56,0)</f>
        <v>4.0605609612852069E-16</v>
      </c>
      <c r="L56" s="69">
        <f t="shared" si="59"/>
        <v>2950.4466574701482</v>
      </c>
    </row>
    <row r="57" spans="1:12">
      <c r="A57" s="31" t="s">
        <v>195</v>
      </c>
      <c r="B57" s="32">
        <v>0.99999979999999999</v>
      </c>
      <c r="C57" s="70">
        <f>IFERROR(VLOOKUP("Bi-214",$A$4:$L$32,3)/$B57,0)</f>
        <v>119.30608847825273</v>
      </c>
      <c r="D57" s="71">
        <f>IFERROR(VLOOKUP("Bi-214",$A$4:$L$32,4)/$B57,0)</f>
        <v>2.6385865347776334</v>
      </c>
      <c r="E57" s="72">
        <f t="shared" si="63"/>
        <v>2.5814939319168206</v>
      </c>
      <c r="F57" s="70">
        <f>IFERROR(VLOOKUP("Bi-214",$A$4:$L$32,6)/$B57,0)</f>
        <v>4.414325273695356</v>
      </c>
      <c r="G57" s="71">
        <f>IFERROR(VLOOKUP("Bi-214",$A$4:$L$32,7)/$B57,0)</f>
        <v>9.7627701786772519E-2</v>
      </c>
      <c r="H57" s="72">
        <f t="shared" si="64"/>
        <v>9.5515275480922451E-2</v>
      </c>
      <c r="I57" s="70">
        <f>IFERROR(VLOOKUP("Bi-214",$A$4:$L$32,9)/$B57,0)</f>
        <v>2.70665019692117E-15</v>
      </c>
      <c r="J57" s="71">
        <f>IFERROR(VLOOKUP("Bi-214",$A$4:$L$32,10)/$B57,0)</f>
        <v>5.9860572541117485E-17</v>
      </c>
      <c r="K57" s="72">
        <f>IFERROR(VLOOKUP("Bi-214",$A$4:$L$32,11)/$B57,0)</f>
        <v>5.8565335166839395E-17</v>
      </c>
      <c r="L57" s="69">
        <f t="shared" si="59"/>
        <v>573.09165288553424</v>
      </c>
    </row>
    <row r="58" spans="1:12">
      <c r="A58" s="31" t="s">
        <v>197</v>
      </c>
      <c r="B58" s="32">
        <v>0.99979000004200003</v>
      </c>
      <c r="C58" s="70">
        <f>IFERROR(VLOOKUP("Po-214",$A$4:$L$32,3)/$B58,0)</f>
        <v>0</v>
      </c>
      <c r="D58" s="71">
        <f>IFERROR(VLOOKUP("Po-214",$A$4:$L$32,4)/$B58,0)</f>
        <v>47618.540298396147</v>
      </c>
      <c r="E58" s="72">
        <f t="shared" si="63"/>
        <v>47618.540298396147</v>
      </c>
      <c r="F58" s="70">
        <f>IFERROR(VLOOKUP("Po-214",$A$4:$L$32,6)/$B58,0)</f>
        <v>0</v>
      </c>
      <c r="G58" s="71">
        <f>IFERROR(VLOOKUP("Po-214",$A$4:$L$32,7)/$B58,0)</f>
        <v>1761.8859910406591</v>
      </c>
      <c r="H58" s="72">
        <f t="shared" si="64"/>
        <v>1761.8859910406591</v>
      </c>
      <c r="I58" s="70">
        <f>IFERROR(VLOOKUP("Po-214",$A$4:$L$32,9)/$B58,0)</f>
        <v>0</v>
      </c>
      <c r="J58" s="71">
        <f>IFERROR(VLOOKUP("Po-214",$A$4:$L$32,10)/$B58,0)</f>
        <v>1.4865476666917341E-19</v>
      </c>
      <c r="K58" s="72">
        <f>IFERROR(VLOOKUP("Po-214",$A$4:$L$32,11)/$B58,0)</f>
        <v>1.4865476666917341E-19</v>
      </c>
      <c r="L58" s="69">
        <f t="shared" si="59"/>
        <v>10571315.946243946</v>
      </c>
    </row>
    <row r="59" spans="1:12">
      <c r="A59" s="31" t="s">
        <v>198</v>
      </c>
      <c r="B59" s="32">
        <v>2.0999995799999999E-4</v>
      </c>
      <c r="C59" s="70">
        <f>IFERROR(VLOOKUP("Tl-210",$A$4:$L$32,3)/$B59,0)</f>
        <v>0</v>
      </c>
      <c r="D59" s="71">
        <f>IFERROR(VLOOKUP("Tl-210",$A$4:$L$32,4)/$B59,0)</f>
        <v>6758.2844144737364</v>
      </c>
      <c r="E59" s="72">
        <f t="shared" si="63"/>
        <v>6758.2844144737364</v>
      </c>
      <c r="F59" s="70">
        <f>IFERROR(VLOOKUP("Tl-210",$A$4:$L$32,6)/$B59,0)</f>
        <v>0</v>
      </c>
      <c r="G59" s="71">
        <f>IFERROR(VLOOKUP("Tl-210",$A$4:$L$32,7)/$B59,0)</f>
        <v>250.05652333552851</v>
      </c>
      <c r="H59" s="72">
        <f t="shared" si="64"/>
        <v>250.05652333552851</v>
      </c>
      <c r="I59" s="70">
        <f>IFERROR(VLOOKUP("Tl-210",$A$4:$L$32,9)/$B59,0)</f>
        <v>0</v>
      </c>
      <c r="J59" s="71">
        <f>IFERROR(VLOOKUP("Tl-210",$A$4:$L$32,10)/$B59,0)</f>
        <v>9.8288291598623408E-15</v>
      </c>
      <c r="K59" s="72">
        <f>IFERROR(VLOOKUP("Tl-210",$A$4:$L$32,11)/$B59,0)</f>
        <v>9.8288291598623408E-15</v>
      </c>
      <c r="L59" s="69">
        <f t="shared" si="59"/>
        <v>1500339.1400131697</v>
      </c>
    </row>
    <row r="60" spans="1:12">
      <c r="A60" s="31" t="s">
        <v>199</v>
      </c>
      <c r="B60" s="32">
        <v>1</v>
      </c>
      <c r="C60" s="70">
        <f>IFERROR(VLOOKUP("Pb-210",$A$4:$L$32,3)/$B60,0)</f>
        <v>1.9198677064810231E-2</v>
      </c>
      <c r="D60" s="71">
        <f>IFERROR(VLOOKUP("Pb-210",$A$4:$L$32,4)/$B60,0)</f>
        <v>1726.6323179841763</v>
      </c>
      <c r="E60" s="72">
        <f t="shared" si="63"/>
        <v>1.9198463594287962E-2</v>
      </c>
      <c r="F60" s="70">
        <f>IFERROR(VLOOKUP("Pb-210",$A$4:$L$32,6)/$B60,0)</f>
        <v>7.1035105139797931E-4</v>
      </c>
      <c r="G60" s="71">
        <f>IFERROR(VLOOKUP("Pb-210",$A$4:$L$32,7)/$B60,0)</f>
        <v>63.885395765414586</v>
      </c>
      <c r="H60" s="72">
        <f t="shared" si="64"/>
        <v>7.1034315298865549E-4</v>
      </c>
      <c r="I60" s="70">
        <f>IFERROR(VLOOKUP("Pb-210",$A$4:$L$32,9)/$B60,0)</f>
        <v>2.5061185093320684E-13</v>
      </c>
      <c r="J60" s="71">
        <f>IFERROR(VLOOKUP("Pb-210",$A$4:$L$32,10)/$B60,0)</f>
        <v>2.2538767626038242E-8</v>
      </c>
      <c r="K60" s="72">
        <f>IFERROR(VLOOKUP("Pb-210",$A$4:$L$32,11)/$B60,0)</f>
        <v>2.5060906437439732E-13</v>
      </c>
      <c r="L60" s="69">
        <f t="shared" si="59"/>
        <v>4.2620589179319275</v>
      </c>
    </row>
    <row r="61" spans="1:12">
      <c r="A61" s="31" t="s">
        <v>200</v>
      </c>
      <c r="B61" s="32">
        <v>1</v>
      </c>
      <c r="C61" s="70">
        <f>IFERROR(VLOOKUP("Bi-210",$A$4:$L$32,3)/$B61,0)</f>
        <v>10.20021315809765</v>
      </c>
      <c r="D61" s="71">
        <f>IFERROR(VLOOKUP("Bi-210",$A$4:$L$32,4)/$B61,0)</f>
        <v>106.74621453064566</v>
      </c>
      <c r="E61" s="72">
        <f t="shared" si="63"/>
        <v>9.3105378552526084</v>
      </c>
      <c r="F61" s="70">
        <f>IFERROR(VLOOKUP("Bi-210",$A$4:$L$32,6)/$B61,0)</f>
        <v>0.37740788684961346</v>
      </c>
      <c r="G61" s="71">
        <f>IFERROR(VLOOKUP("Bi-210",$A$4:$L$32,7)/$B61,0)</f>
        <v>3.9496099376338933</v>
      </c>
      <c r="H61" s="72">
        <f t="shared" si="64"/>
        <v>0.34448990064434692</v>
      </c>
      <c r="I61" s="70">
        <f>IFERROR(VLOOKUP("Bi-210",$A$4:$L$32,9)/$B61,0)</f>
        <v>8.2374238669004308E-14</v>
      </c>
      <c r="J61" s="71">
        <f>IFERROR(VLOOKUP("Bi-210",$A$4:$L$32,10)/$B61,0)</f>
        <v>8.6205435283276668E-13</v>
      </c>
      <c r="K61" s="72">
        <f>IFERROR(VLOOKUP("Bi-210",$A$4:$L$32,11)/$B61,0)</f>
        <v>7.5189454920019977E-14</v>
      </c>
      <c r="L61" s="69">
        <f t="shared" si="59"/>
        <v>2066.9394038660789</v>
      </c>
    </row>
    <row r="62" spans="1:12">
      <c r="A62" s="31" t="s">
        <v>202</v>
      </c>
      <c r="B62" s="32">
        <v>1</v>
      </c>
      <c r="C62" s="70">
        <f>IFERROR(VLOOKUP("Po-210",$A$4:$L$32,3)/$B62,0)</f>
        <v>1.1043205981080927E-2</v>
      </c>
      <c r="D62" s="71">
        <f>IFERROR(VLOOKUP("Po-210",$A$4:$L$32,4)/$B62,0)</f>
        <v>406376.58677067928</v>
      </c>
      <c r="E62" s="72">
        <f>IFERROR(IF(AND(C62&lt;&gt;0,D62&lt;&gt;0),(1/((1/C62)+(1/D62))),IF(AND(C62&lt;&gt;0,D62=0),(1/(1/C62)),IF(AND(C62=0,D62&lt;&gt;0),(1/(1/D62)),0))),0)</f>
        <v>1.1043205680983928E-2</v>
      </c>
      <c r="F62" s="70">
        <f>IFERROR(VLOOKUP("Po-210",$A$4:$L$32,6)/$B62,0)</f>
        <v>4.0859862129999472E-4</v>
      </c>
      <c r="G62" s="71">
        <f>IFERROR(VLOOKUP("Po-210",$A$4:$L$32,7)/$B62,0)</f>
        <v>15035.933710515148</v>
      </c>
      <c r="H62" s="72">
        <f>IFERROR(IF(AND(F62&lt;&gt;0,G62&lt;&gt;0),(1/((1/F62)+(1/G62))),IF(AND(F62&lt;&gt;0,G62=0),(1/(1/F62)),IF(AND(F62=0,G62&lt;&gt;0),(1/(1/G62)),0))),0)</f>
        <v>4.0859861019640564E-4</v>
      </c>
      <c r="I62" s="70">
        <f>IFERROR(VLOOKUP("Po-210",$A$4:$L$32,9)/$B62,0)</f>
        <v>2.4617299354870359E-15</v>
      </c>
      <c r="J62" s="71">
        <f>IFERROR(VLOOKUP("Po-210",$A$4:$L$32,10)/$B62,0)</f>
        <v>9.058867601023472E-8</v>
      </c>
      <c r="K62" s="72">
        <f>IFERROR(VLOOKUP("Po-210",$A$4:$L$32,11)/$B62,0)</f>
        <v>2.4617298685899982E-15</v>
      </c>
      <c r="L62" s="69">
        <f>IF(E62&lt;&gt;".",E62*2.22*100,".")</f>
        <v>2.4515916611784321</v>
      </c>
    </row>
    <row r="63" spans="1:12">
      <c r="A63" s="31" t="s">
        <v>201</v>
      </c>
      <c r="B63" s="34">
        <v>1.9000000000000001E-8</v>
      </c>
      <c r="C63" s="70">
        <f>IFERROR(VLOOKUP("Hg-206",$A$4:$L$32,3)/$B63,0)</f>
        <v>0</v>
      </c>
      <c r="D63" s="71">
        <f>IFERROR(VLOOKUP("Hg-206",$A$4:$L$32,4)/$B63,0)</f>
        <v>1323487152.9585526</v>
      </c>
      <c r="E63" s="72">
        <f t="shared" si="63"/>
        <v>1323487152.9585526</v>
      </c>
      <c r="F63" s="70">
        <f>IFERROR(VLOOKUP("Hg-206",$A$4:$L$32,6)/$B63,0)</f>
        <v>0</v>
      </c>
      <c r="G63" s="71">
        <f>IFERROR(VLOOKUP("Hg-206",$A$4:$L$32,7)/$B63,0)</f>
        <v>48969024.659466498</v>
      </c>
      <c r="H63" s="72">
        <f t="shared" si="64"/>
        <v>48969024.659466498</v>
      </c>
      <c r="I63" s="70">
        <f>IFERROR(VLOOKUP("Hg-206",$A$4:$L$32,9)/$B63,0)</f>
        <v>0</v>
      </c>
      <c r="J63" s="71">
        <f>IFERROR(VLOOKUP("Hg-206",$A$4:$L$32,10)/$B63,0)</f>
        <v>1.1837152258534944E-8</v>
      </c>
      <c r="K63" s="72">
        <f>IFERROR(VLOOKUP("Hg-206",$A$4:$L$32,11)/$B63,0)</f>
        <v>1.1837152258534944E-8</v>
      </c>
      <c r="L63" s="69">
        <f t="shared" si="59"/>
        <v>293814147956.79871</v>
      </c>
    </row>
    <row r="64" spans="1:12">
      <c r="A64" s="31" t="s">
        <v>203</v>
      </c>
      <c r="B64" s="32">
        <v>1.339E-6</v>
      </c>
      <c r="C64" s="70">
        <f>IFERROR(VLOOKUP("Tl-206",$A$4:$L$32,3)/$B64,0)</f>
        <v>0</v>
      </c>
      <c r="D64" s="71">
        <f>IFERROR(VLOOKUP("Tl-206",$A$4:$L$32,4)/$B64,0)</f>
        <v>45722250.655616365</v>
      </c>
      <c r="E64" s="72">
        <f t="shared" si="63"/>
        <v>45722250.655616365</v>
      </c>
      <c r="F64" s="70">
        <f>IFERROR(VLOOKUP("Tl-206",$A$4:$L$32,6)/$B64,0)</f>
        <v>0</v>
      </c>
      <c r="G64" s="71">
        <f>IFERROR(VLOOKUP("Tl-206",$A$4:$L$32,7)/$B64,0)</f>
        <v>1691723.2742578073</v>
      </c>
      <c r="H64" s="72">
        <f t="shared" si="64"/>
        <v>1691723.2742578071</v>
      </c>
      <c r="I64" s="70">
        <f>IFERROR(VLOOKUP("Tl-206",$A$4:$L$32,9)/$B64,0)</f>
        <v>0</v>
      </c>
      <c r="J64" s="71">
        <f>IFERROR(VLOOKUP("Tl-206",$A$4:$L$32,10)/$B64,0)</f>
        <v>2.1073990781634381E-10</v>
      </c>
      <c r="K64" s="72">
        <f>IFERROR(VLOOKUP("Tl-206",$A$4:$L$32,11)/$B64,0)</f>
        <v>2.1073990781634381E-10</v>
      </c>
      <c r="L64" s="69">
        <f t="shared" si="59"/>
        <v>10150339645.546835</v>
      </c>
    </row>
    <row r="65" spans="1:12">
      <c r="A65" s="30" t="s">
        <v>31</v>
      </c>
      <c r="B65" s="30" t="s">
        <v>59</v>
      </c>
      <c r="C65" s="76">
        <f>IFERROR(1/SUM(,1/C70,1/C71,1/C74,1/C75,1/C76),0)</f>
        <v>7.0049028219811215E-3</v>
      </c>
      <c r="D65" s="77">
        <f>IFERROR(1/SUM(1/D66,1/D67,1/D68,1/D69,1/D70,1/D71,1/D72,1/D73,1/D74,1/D75,1/D76,1/D77),0)</f>
        <v>2.2023948114961165</v>
      </c>
      <c r="E65" s="77">
        <f>IFERROR(1/SUM(1/E66,1/E67,1/E68,1/E69,1/E70,1/E71,1/E72,1/E73,1/E74,1/E75,1/E76,1/E77),0)</f>
        <v>6.982693774325594E-3</v>
      </c>
      <c r="F65" s="76">
        <f>IFERROR(1/SUM(,1/F70,1/F71,1/F74,1/F75,1/F76),0)</f>
        <v>2.5918140441330177E-4</v>
      </c>
      <c r="G65" s="77">
        <f>IFERROR(1/SUM(1/G66,1/G67,1/G68,1/G69,1/G70,1/G71,1/G72,1/G73,1/G74,1/G75,1/G76,1/G77),0)</f>
        <v>8.1488608025356388E-2</v>
      </c>
      <c r="H65" s="77">
        <f>IFERROR(1/SUM(1/H66,1/H67,1/H68,1/H69,1/H70,1/H71,1/H72,1/H73,1/H74,1/H75,1/H76,1/H77),0)</f>
        <v>2.5835966965004727E-4</v>
      </c>
      <c r="I65" s="73">
        <f>IFERROR(C65*Isospec!$C$26*Isospec!$F$26*SSLcm_m,".")</f>
        <v>4.5612234729333887E-17</v>
      </c>
      <c r="J65" s="74">
        <f>IFERROR(D65*Isospec!$C$26*Isospec!$F$26*SSLcm_m,".")</f>
        <v>1.4340834078868344E-14</v>
      </c>
      <c r="K65" s="75">
        <f>IFERROR(E65*Isospec!$C$26*Isospec!$F$26*SSLcm_m,".")</f>
        <v>4.5467621117907305E-17</v>
      </c>
      <c r="L65" s="68">
        <f t="shared" si="59"/>
        <v>1.5501580179002821</v>
      </c>
    </row>
    <row r="66" spans="1:12">
      <c r="A66" s="31" t="s">
        <v>191</v>
      </c>
      <c r="B66" s="32">
        <v>1</v>
      </c>
      <c r="C66" s="70">
        <f>IFERROR(VLOOKUP("Rn-222",$A$4:$L$32,3)/$B66,0)</f>
        <v>0</v>
      </c>
      <c r="D66" s="71">
        <f>IFERROR(VLOOKUP("Rn-222",$A$4:$L$32,4)/$B66,0)</f>
        <v>10072.021854907698</v>
      </c>
      <c r="E66" s="72">
        <f t="shared" ref="E66:E67" si="65">IFERROR(IF(AND(C66&lt;&gt;0,D66&lt;&gt;0),(1/((1/C66)+(1/D66))),IF(AND(C66&lt;&gt;0,D66=0),(1/(1/C66)),IF(AND(C66=0,D66&lt;&gt;0),(1/(1/D66)),0))),0)</f>
        <v>10072.021854907698</v>
      </c>
      <c r="F66" s="70">
        <f>IFERROR(VLOOKUP("Rn-222",$A$4:$L$32,6)/$B66,0)</f>
        <v>0</v>
      </c>
      <c r="G66" s="71">
        <f>IFERROR(VLOOKUP("Rn-222",$A$4:$L$32,7)/$B66,0)</f>
        <v>372.66480863158523</v>
      </c>
      <c r="H66" s="72">
        <f t="shared" ref="H66:H67" si="66">IFERROR(IF(AND(F66&lt;&gt;0,G66&lt;&gt;0),(1/((1/F66)+(1/G66))),IF(AND(F66&lt;&gt;0,G66=0),(1/(1/F66)),IF(AND(F66=0,G66&lt;&gt;0),(1/(1/G66)),0))),0)</f>
        <v>372.66480863158523</v>
      </c>
      <c r="I66" s="70">
        <f>IFERROR(VLOOKUP("Rn-222",$A$4:$L$32,9)/$B66,0)</f>
        <v>0</v>
      </c>
      <c r="J66" s="71">
        <f>IFERROR(VLOOKUP("Rn-222",$A$4:$L$32,10)/$B66,0)</f>
        <v>6.5583697121882623E-11</v>
      </c>
      <c r="K66" s="72">
        <f>IFERROR(VLOOKUP("Rn-222",$A$4:$L$32,11)/$B66,0)</f>
        <v>6.5583697121882623E-11</v>
      </c>
      <c r="L66" s="69">
        <f t="shared" si="59"/>
        <v>2235988.8517895089</v>
      </c>
    </row>
    <row r="67" spans="1:12">
      <c r="A67" s="31" t="s">
        <v>192</v>
      </c>
      <c r="B67" s="32">
        <v>1</v>
      </c>
      <c r="C67" s="70">
        <f>IFERROR(VLOOKUP("Po-218",$A$4:$L$32,3)/$B67,0)</f>
        <v>0</v>
      </c>
      <c r="D67" s="71">
        <f>IFERROR(VLOOKUP("Po-218",$A$4:$L$32,4)/$B67,0)</f>
        <v>626030431.08198214</v>
      </c>
      <c r="E67" s="72">
        <f t="shared" si="65"/>
        <v>626030431.08198214</v>
      </c>
      <c r="F67" s="70">
        <f>IFERROR(VLOOKUP("Po-218",$A$4:$L$32,6)/$B67,0)</f>
        <v>0</v>
      </c>
      <c r="G67" s="71">
        <f>IFERROR(VLOOKUP("Po-218",$A$4:$L$32,7)/$B67,0)</f>
        <v>23163125.950033363</v>
      </c>
      <c r="H67" s="72">
        <f t="shared" si="66"/>
        <v>23163125.950033363</v>
      </c>
      <c r="I67" s="70">
        <f>IFERROR(VLOOKUP("Po-218",$A$4:$L$32,9)/$B67,0)</f>
        <v>0</v>
      </c>
      <c r="J67" s="71">
        <f>IFERROR(VLOOKUP("Po-218",$A$4:$L$32,10)/$B67,0)</f>
        <v>2.2538048381099075E-9</v>
      </c>
      <c r="K67" s="72">
        <f>IFERROR(VLOOKUP("Po-218",$A$4:$L$32,11)/$B67,0)</f>
        <v>2.2538048381099075E-9</v>
      </c>
      <c r="L67" s="69">
        <f t="shared" si="59"/>
        <v>138978755700.20004</v>
      </c>
    </row>
    <row r="68" spans="1:12">
      <c r="A68" s="31" t="s">
        <v>194</v>
      </c>
      <c r="B68" s="32">
        <v>2.0000000000000001E-4</v>
      </c>
      <c r="C68" s="70">
        <f>IFERROR(VLOOKUP("At-218",$A$4:$L$32,3)/$B68,0)</f>
        <v>0</v>
      </c>
      <c r="D68" s="71">
        <f>IFERROR(VLOOKUP("At-218",$A$4:$L$32,4)/$B68,0)</f>
        <v>166524094.66780725</v>
      </c>
      <c r="E68" s="72">
        <f>IFERROR(IF(AND(C68&lt;&gt;0,D68&lt;&gt;0),(1/((1/C68)+(1/D68))),IF(AND(C68&lt;&gt;0,D68=0),(1/(1/C68)),IF(AND(C68=0,D68&lt;&gt;0),(1/(1/D68)),0))),0)</f>
        <v>166524094.66780725</v>
      </c>
      <c r="F68" s="70">
        <f>IFERROR(VLOOKUP("At-218",$A$4:$L$32,6)/$B68,0)</f>
        <v>0</v>
      </c>
      <c r="G68" s="71">
        <f>IFERROR(VLOOKUP("At-218",$A$4:$L$32,7)/$B68,0)</f>
        <v>6161391.5027088746</v>
      </c>
      <c r="H68" s="72">
        <f>IFERROR(IF(AND(F68&lt;&gt;0,G68&lt;&gt;0),(1/((1/F68)+(1/G68))),IF(AND(F68&lt;&gt;0,G68=0),(1/(1/F68)),IF(AND(F68=0,G68&lt;&gt;0),(1/(1/G68)),0))),0)</f>
        <v>6161391.5027088746</v>
      </c>
      <c r="I68" s="70">
        <f>IFERROR(VLOOKUP("At-218",$A$4:$L$32,9)/$B68,0)</f>
        <v>0</v>
      </c>
      <c r="J68" s="71">
        <f>IFERROR(VLOOKUP("At-218",$A$4:$L$32,10)/$B68,0)</f>
        <v>4.8347748946551462E-12</v>
      </c>
      <c r="K68" s="72">
        <f>IFERROR(VLOOKUP("At-218",$A$4:$L$32,11)/$B68,0)</f>
        <v>4.8347748946551462E-12</v>
      </c>
      <c r="L68" s="69">
        <f>IF(E68&lt;&gt;".",E68*2.22*100,".")</f>
        <v>36968349016.253212</v>
      </c>
    </row>
    <row r="69" spans="1:12">
      <c r="A69" s="31" t="s">
        <v>196</v>
      </c>
      <c r="B69" s="32">
        <v>1.9999999999999999E-7</v>
      </c>
      <c r="C69" s="70">
        <f>IFERROR(VLOOKUP("Rn-218",$A$4:$L$32,3)/$B69,0)</f>
        <v>0</v>
      </c>
      <c r="D69" s="71">
        <f>IFERROR(VLOOKUP("Rn-218",$A$4:$L$32,4)/$B69,0)</f>
        <v>25875636257.083309</v>
      </c>
      <c r="E69" s="72">
        <f>IFERROR(IF(AND(C69&lt;&gt;0,D69&lt;&gt;0),(1/((1/C69)+(1/D69))),IF(AND(C69&lt;&gt;0,D69=0),(1/(1/C69)),IF(AND(C69=0,D69&lt;&gt;0),(1/(1/D69)),0))),0)</f>
        <v>25875636257.083309</v>
      </c>
      <c r="F69" s="70">
        <f>IFERROR(VLOOKUP("Rn-218",$A$4:$L$32,6)/$B69,0)</f>
        <v>0</v>
      </c>
      <c r="G69" s="71">
        <f>IFERROR(VLOOKUP("Rn-218",$A$4:$L$32,7)/$B69,0)</f>
        <v>957398541.51208341</v>
      </c>
      <c r="H69" s="72">
        <f>IFERROR(IF(AND(F69&lt;&gt;0,G69&lt;&gt;0),(1/((1/F69)+(1/G69))),IF(AND(F69&lt;&gt;0,G69=0),(1/(1/F69)),IF(AND(F69=0,G69&lt;&gt;0),(1/(1/G69)),0))),0)</f>
        <v>957398541.51208329</v>
      </c>
      <c r="I69" s="70">
        <f>IFERROR(VLOOKUP("Rn-218",$A$4:$L$32,9)/$B69,0)</f>
        <v>0</v>
      </c>
      <c r="J69" s="71">
        <f>IFERROR(VLOOKUP("Rn-218",$A$4:$L$32,10)/$B69,0)</f>
        <v>1.7529397926063784E-11</v>
      </c>
      <c r="K69" s="72">
        <f>IFERROR(VLOOKUP("Rn-218",$A$4:$L$32,11)/$B69,0)</f>
        <v>1.7529397926063784E-11</v>
      </c>
      <c r="L69" s="69">
        <f>IF(E69&lt;&gt;".",E69*2.22*100,".")</f>
        <v>5744391249072.4951</v>
      </c>
    </row>
    <row r="70" spans="1:12">
      <c r="A70" s="31" t="s">
        <v>193</v>
      </c>
      <c r="B70" s="32">
        <v>0.99980000000000002</v>
      </c>
      <c r="C70" s="70">
        <f>IFERROR(VLOOKUP("Pb-214",$A$4:$L$32,3)/$B70,0)</f>
        <v>96.150735450024698</v>
      </c>
      <c r="D70" s="71">
        <f>IFERROR(VLOOKUP("Pb-214",$A$4:$L$32,4)/$B70,0)</f>
        <v>15.421982050836764</v>
      </c>
      <c r="E70" s="72">
        <f t="shared" ref="E70:E75" si="67">IFERROR(IF(AND(C70&lt;&gt;0,D70&lt;&gt;0),(1/((1/C70)+(1/D70))),IF(AND(C70&lt;&gt;0,D70=0),(1/(1/C70)),IF(AND(C70=0,D70&lt;&gt;0),(1/(1/D70)),0))),0)</f>
        <v>13.29030025887454</v>
      </c>
      <c r="F70" s="70">
        <f>IFERROR(VLOOKUP("Pb-214",$A$4:$L$32,6)/$B70,0)</f>
        <v>3.5575772116509174</v>
      </c>
      <c r="G70" s="71">
        <f>IFERROR(VLOOKUP("Pb-214",$A$4:$L$32,7)/$B70,0)</f>
        <v>0.57061333588096086</v>
      </c>
      <c r="H70" s="72">
        <f t="shared" ref="H70:H75" si="68">IFERROR(IF(AND(F70&lt;&gt;0,G70&lt;&gt;0),(1/((1/F70)+(1/G70))),IF(AND(F70&lt;&gt;0,G70=0),(1/(1/F70)),IF(AND(F70=0,G70&lt;&gt;0),(1/(1/G70)),0))),0)</f>
        <v>0.49174110957835854</v>
      </c>
      <c r="I70" s="70">
        <f>IFERROR(VLOOKUP("Pb-214",$A$4:$L$32,9)/$B70,0)</f>
        <v>2.9376757120782624E-15</v>
      </c>
      <c r="J70" s="71">
        <f>IFERROR(VLOOKUP("Pb-214",$A$4:$L$32,10)/$B70,0)</f>
        <v>4.7118497732550041E-16</v>
      </c>
      <c r="K70" s="72">
        <f>IFERROR(VLOOKUP("Pb-214",$A$4:$L$32,11)/$B70,0)</f>
        <v>4.0605609612852069E-16</v>
      </c>
      <c r="L70" s="69">
        <f t="shared" ref="L70:L75" si="69">IF(E70&lt;&gt;".",E70*2.22*100,".")</f>
        <v>2950.4466574701482</v>
      </c>
    </row>
    <row r="71" spans="1:12">
      <c r="A71" s="31" t="s">
        <v>195</v>
      </c>
      <c r="B71" s="32">
        <v>0.99999979999999999</v>
      </c>
      <c r="C71" s="70">
        <f>IFERROR(VLOOKUP("Bi-214",$A$4:$L$32,3)/$B71,0)</f>
        <v>119.30608847825273</v>
      </c>
      <c r="D71" s="71">
        <f>IFERROR(VLOOKUP("Bi-214",$A$4:$L$32,4)/$B71,0)</f>
        <v>2.6385865347776334</v>
      </c>
      <c r="E71" s="72">
        <f t="shared" si="67"/>
        <v>2.5814939319168206</v>
      </c>
      <c r="F71" s="70">
        <f>IFERROR(VLOOKUP("Bi-214",$A$4:$L$32,6)/$B71,0)</f>
        <v>4.414325273695356</v>
      </c>
      <c r="G71" s="71">
        <f>IFERROR(VLOOKUP("Bi-214",$A$4:$L$32,7)/$B71,0)</f>
        <v>9.7627701786772519E-2</v>
      </c>
      <c r="H71" s="72">
        <f t="shared" si="68"/>
        <v>9.5515275480922451E-2</v>
      </c>
      <c r="I71" s="70">
        <f>IFERROR(VLOOKUP("Bi-214",$A$4:$L$32,9)/$B71,0)</f>
        <v>2.70665019692117E-15</v>
      </c>
      <c r="J71" s="71">
        <f>IFERROR(VLOOKUP("Bi-214",$A$4:$L$32,10)/$B71,0)</f>
        <v>5.9860572541117485E-17</v>
      </c>
      <c r="K71" s="72">
        <f>IFERROR(VLOOKUP("Bi-214",$A$4:$L$32,11)/$B71,0)</f>
        <v>5.8565335166839395E-17</v>
      </c>
      <c r="L71" s="69">
        <f t="shared" si="69"/>
        <v>573.09165288553424</v>
      </c>
    </row>
    <row r="72" spans="1:12">
      <c r="A72" s="31" t="s">
        <v>197</v>
      </c>
      <c r="B72" s="32">
        <v>0.99979000004200003</v>
      </c>
      <c r="C72" s="70">
        <f>IFERROR(VLOOKUP("Po-214",$A$4:$L$32,3)/$B72,0)</f>
        <v>0</v>
      </c>
      <c r="D72" s="71">
        <f>IFERROR(VLOOKUP("Po-214",$A$4:$L$32,4)/$B72,0)</f>
        <v>47618.540298396147</v>
      </c>
      <c r="E72" s="72">
        <f t="shared" si="67"/>
        <v>47618.540298396147</v>
      </c>
      <c r="F72" s="70">
        <f>IFERROR(VLOOKUP("Po-214",$A$4:$L$32,6)/$B72,0)</f>
        <v>0</v>
      </c>
      <c r="G72" s="71">
        <f>IFERROR(VLOOKUP("Po-214",$A$4:$L$32,7)/$B72,0)</f>
        <v>1761.8859910406591</v>
      </c>
      <c r="H72" s="72">
        <f t="shared" si="68"/>
        <v>1761.8859910406591</v>
      </c>
      <c r="I72" s="70">
        <f>IFERROR(VLOOKUP("Po-214",$A$4:$L$32,9)/$B72,0)</f>
        <v>0</v>
      </c>
      <c r="J72" s="71">
        <f>IFERROR(VLOOKUP("Po-214",$A$4:$L$32,10)/$B72,0)</f>
        <v>1.4865476666917341E-19</v>
      </c>
      <c r="K72" s="72">
        <f>IFERROR(VLOOKUP("Po-214",$A$4:$L$32,11)/$B72,0)</f>
        <v>1.4865476666917341E-19</v>
      </c>
      <c r="L72" s="69">
        <f t="shared" si="69"/>
        <v>10571315.946243946</v>
      </c>
    </row>
    <row r="73" spans="1:12">
      <c r="A73" s="31" t="s">
        <v>198</v>
      </c>
      <c r="B73" s="32">
        <v>2.0999995799999999E-4</v>
      </c>
      <c r="C73" s="70">
        <f>IFERROR(VLOOKUP("Tl-210",$A$4:$L$32,3)/$B73,0)</f>
        <v>0</v>
      </c>
      <c r="D73" s="71">
        <f>IFERROR(VLOOKUP("Tl-210",$A$4:$L$32,4)/$B73,0)</f>
        <v>6758.2844144737364</v>
      </c>
      <c r="E73" s="72">
        <f t="shared" si="67"/>
        <v>6758.2844144737364</v>
      </c>
      <c r="F73" s="70">
        <f>IFERROR(VLOOKUP("Tl-210",$A$4:$L$32,6)/$B73,0)</f>
        <v>0</v>
      </c>
      <c r="G73" s="71">
        <f>IFERROR(VLOOKUP("Tl-210",$A$4:$L$32,7)/$B73,0)</f>
        <v>250.05652333552851</v>
      </c>
      <c r="H73" s="72">
        <f t="shared" si="68"/>
        <v>250.05652333552851</v>
      </c>
      <c r="I73" s="70">
        <f>IFERROR(VLOOKUP("Tl-210",$A$4:$L$32,9)/$B73,0)</f>
        <v>0</v>
      </c>
      <c r="J73" s="71">
        <f>IFERROR(VLOOKUP("Tl-210",$A$4:$L$32,10)/$B73,0)</f>
        <v>9.8288291598623408E-15</v>
      </c>
      <c r="K73" s="72">
        <f>IFERROR(VLOOKUP("Tl-210",$A$4:$L$32,11)/$B73,0)</f>
        <v>9.8288291598623408E-15</v>
      </c>
      <c r="L73" s="69">
        <f t="shared" si="69"/>
        <v>1500339.1400131697</v>
      </c>
    </row>
    <row r="74" spans="1:12">
      <c r="A74" s="31" t="s">
        <v>199</v>
      </c>
      <c r="B74" s="32">
        <v>1</v>
      </c>
      <c r="C74" s="70">
        <f>IFERROR(VLOOKUP("Pb-210",$A$4:$L$32,3)/$B74,0)</f>
        <v>1.9198677064810231E-2</v>
      </c>
      <c r="D74" s="71">
        <f>IFERROR(VLOOKUP("Pb-210",$A$4:$L$32,4)/$B74,0)</f>
        <v>1726.6323179841763</v>
      </c>
      <c r="E74" s="72">
        <f t="shared" si="67"/>
        <v>1.9198463594287962E-2</v>
      </c>
      <c r="F74" s="70">
        <f>IFERROR(VLOOKUP("Pb-210",$A$4:$L$32,6)/$B74,0)</f>
        <v>7.1035105139797931E-4</v>
      </c>
      <c r="G74" s="71">
        <f>IFERROR(VLOOKUP("Pb-210",$A$4:$L$32,7)/$B74,0)</f>
        <v>63.885395765414586</v>
      </c>
      <c r="H74" s="72">
        <f t="shared" si="68"/>
        <v>7.1034315298865549E-4</v>
      </c>
      <c r="I74" s="70">
        <f>IFERROR(VLOOKUP("Pb-210",$A$4:$L$32,9)/$B74,0)</f>
        <v>2.5061185093320684E-13</v>
      </c>
      <c r="J74" s="71">
        <f>IFERROR(VLOOKUP("Pb-210",$A$4:$L$32,10)/$B74,0)</f>
        <v>2.2538767626038242E-8</v>
      </c>
      <c r="K74" s="72">
        <f>IFERROR(VLOOKUP("Pb-210",$A$4:$L$32,11)/$B74,0)</f>
        <v>2.5060906437439732E-13</v>
      </c>
      <c r="L74" s="69">
        <f t="shared" si="69"/>
        <v>4.2620589179319275</v>
      </c>
    </row>
    <row r="75" spans="1:12">
      <c r="A75" s="31" t="s">
        <v>200</v>
      </c>
      <c r="B75" s="32">
        <v>1</v>
      </c>
      <c r="C75" s="70">
        <f>IFERROR(VLOOKUP("Bi-210",$A$4:$L$32,3)/$B75,0)</f>
        <v>10.20021315809765</v>
      </c>
      <c r="D75" s="71">
        <f>IFERROR(VLOOKUP("Bi-210",$A$4:$L$32,4)/$B75,0)</f>
        <v>106.74621453064566</v>
      </c>
      <c r="E75" s="72">
        <f t="shared" si="67"/>
        <v>9.3105378552526084</v>
      </c>
      <c r="F75" s="70">
        <f>IFERROR(VLOOKUP("Bi-210",$A$4:$L$32,6)/$B75,0)</f>
        <v>0.37740788684961346</v>
      </c>
      <c r="G75" s="71">
        <f>IFERROR(VLOOKUP("Bi-210",$A$4:$L$32,7)/$B75,0)</f>
        <v>3.9496099376338933</v>
      </c>
      <c r="H75" s="72">
        <f t="shared" si="68"/>
        <v>0.34448990064434692</v>
      </c>
      <c r="I75" s="70">
        <f>IFERROR(VLOOKUP("Bi-210",$A$4:$L$32,9)/$B75,0)</f>
        <v>8.2374238669004308E-14</v>
      </c>
      <c r="J75" s="71">
        <f>IFERROR(VLOOKUP("Bi-210",$A$4:$L$32,10)/$B75,0)</f>
        <v>8.6205435283276668E-13</v>
      </c>
      <c r="K75" s="72">
        <f>IFERROR(VLOOKUP("Bi-210",$A$4:$L$32,11)/$B75,0)</f>
        <v>7.5189454920019977E-14</v>
      </c>
      <c r="L75" s="69">
        <f t="shared" si="69"/>
        <v>2066.9394038660789</v>
      </c>
    </row>
    <row r="76" spans="1:12">
      <c r="A76" s="31" t="s">
        <v>202</v>
      </c>
      <c r="B76" s="32">
        <v>1</v>
      </c>
      <c r="C76" s="70">
        <f>IFERROR(VLOOKUP("Po-210",$A$4:$L$32,3)/$B76,0)</f>
        <v>1.1043205981080927E-2</v>
      </c>
      <c r="D76" s="71">
        <f>IFERROR(VLOOKUP("Po-210",$A$4:$L$32,4)/$B76,0)</f>
        <v>406376.58677067928</v>
      </c>
      <c r="E76" s="72">
        <f>IFERROR(IF(AND(C76&lt;&gt;0,D76&lt;&gt;0),(1/((1/C76)+(1/D76))),IF(AND(C76&lt;&gt;0,D76=0),(1/(1/C76)),IF(AND(C76=0,D76&lt;&gt;0),(1/(1/D76)),0))),0)</f>
        <v>1.1043205680983928E-2</v>
      </c>
      <c r="F76" s="70">
        <f>IFERROR(VLOOKUP("Po-210",$A$4:$L$32,6)/$B76,0)</f>
        <v>4.0859862129999472E-4</v>
      </c>
      <c r="G76" s="71">
        <f>IFERROR(VLOOKUP("Po-210",$A$4:$L$32,7)/$B76,0)</f>
        <v>15035.933710515148</v>
      </c>
      <c r="H76" s="72">
        <f>IFERROR(IF(AND(F76&lt;&gt;0,G76&lt;&gt;0),(1/((1/F76)+(1/G76))),IF(AND(F76&lt;&gt;0,G76=0),(1/(1/F76)),IF(AND(F76=0,G76&lt;&gt;0),(1/(1/G76)),0))),0)</f>
        <v>4.0859861019640564E-4</v>
      </c>
      <c r="I76" s="70">
        <f>IFERROR(VLOOKUP("Po-210",$A$4:$L$32,9)/$B76,0)</f>
        <v>2.4617299354870359E-15</v>
      </c>
      <c r="J76" s="71">
        <f>IFERROR(VLOOKUP("Po-210",$A$4:$L$32,10)/$B76,0)</f>
        <v>9.058867601023472E-8</v>
      </c>
      <c r="K76" s="72">
        <f>IFERROR(VLOOKUP("Po-210",$A$4:$L$32,11)/$B76,0)</f>
        <v>2.4617298685899982E-15</v>
      </c>
      <c r="L76" s="69">
        <f>IF(E76&lt;&gt;".",E76*2.22*100,".")</f>
        <v>2.4515916611784321</v>
      </c>
    </row>
    <row r="77" spans="1:12">
      <c r="A77" s="31" t="s">
        <v>201</v>
      </c>
      <c r="B77" s="34">
        <v>1.9000000000000001E-8</v>
      </c>
      <c r="C77" s="70">
        <f>IFERROR(VLOOKUP("Hg-206",$A$4:$L$32,3)/$B77,0)</f>
        <v>0</v>
      </c>
      <c r="D77" s="71">
        <f>IFERROR(VLOOKUP("Hg-206",$A$4:$L$32,4)/$B77,0)</f>
        <v>1323487152.9585526</v>
      </c>
      <c r="E77" s="72">
        <f t="shared" ref="E77:E78" si="70">IFERROR(IF(AND(C77&lt;&gt;0,D77&lt;&gt;0),(1/((1/C77)+(1/D77))),IF(AND(C77&lt;&gt;0,D77=0),(1/(1/C77)),IF(AND(C77=0,D77&lt;&gt;0),(1/(1/D77)),0))),0)</f>
        <v>1323487152.9585526</v>
      </c>
      <c r="F77" s="70">
        <f>IFERROR(VLOOKUP("Hg-206",$A$4:$L$32,6)/$B77,0)</f>
        <v>0</v>
      </c>
      <c r="G77" s="71">
        <f>IFERROR(VLOOKUP("Hg-206",$A$4:$L$32,7)/$B77,0)</f>
        <v>48969024.659466498</v>
      </c>
      <c r="H77" s="72">
        <f t="shared" ref="H77:H78" si="71">IFERROR(IF(AND(F77&lt;&gt;0,G77&lt;&gt;0),(1/((1/F77)+(1/G77))),IF(AND(F77&lt;&gt;0,G77=0),(1/(1/F77)),IF(AND(F77=0,G77&lt;&gt;0),(1/(1/G77)),0))),0)</f>
        <v>48969024.659466498</v>
      </c>
      <c r="I77" s="70">
        <f>IFERROR(VLOOKUP("Hg-206",$A$4:$L$32,9)/$B77,0)</f>
        <v>0</v>
      </c>
      <c r="J77" s="71">
        <f>IFERROR(VLOOKUP("Hg-206",$A$4:$L$32,10)/$B77,0)</f>
        <v>1.1837152258534944E-8</v>
      </c>
      <c r="K77" s="72">
        <f>IFERROR(VLOOKUP("Hg-206",$A$4:$L$32,11)/$B77,0)</f>
        <v>1.1837152258534944E-8</v>
      </c>
      <c r="L77" s="69">
        <f t="shared" ref="L77:L78" si="72">IF(E77&lt;&gt;".",E77*2.22*100,".")</f>
        <v>293814147956.79871</v>
      </c>
    </row>
    <row r="78" spans="1:12">
      <c r="A78" s="31" t="s">
        <v>203</v>
      </c>
      <c r="B78" s="32">
        <v>1.339E-6</v>
      </c>
      <c r="C78" s="70">
        <f>IFERROR(VLOOKUP("Tl-206",$A$4:$L$32,3)/$B78,0)</f>
        <v>0</v>
      </c>
      <c r="D78" s="71">
        <f>IFERROR(VLOOKUP("Tl-206",$A$4:$L$32,4)/$B78,0)</f>
        <v>45722250.655616365</v>
      </c>
      <c r="E78" s="72">
        <f t="shared" si="70"/>
        <v>45722250.655616365</v>
      </c>
      <c r="F78" s="70">
        <f>IFERROR(VLOOKUP("Tl-206",$A$4:$L$32,6)/$B78,0)</f>
        <v>0</v>
      </c>
      <c r="G78" s="71">
        <f>IFERROR(VLOOKUP("Tl-206",$A$4:$L$32,7)/$B78,0)</f>
        <v>1691723.2742578073</v>
      </c>
      <c r="H78" s="72">
        <f t="shared" si="71"/>
        <v>1691723.2742578071</v>
      </c>
      <c r="I78" s="70">
        <f>IFERROR(VLOOKUP("Tl-206",$A$4:$L$32,9)/$B78,0)</f>
        <v>0</v>
      </c>
      <c r="J78" s="71">
        <f>IFERROR(VLOOKUP("Tl-206",$A$4:$L$32,10)/$B78,0)</f>
        <v>2.1073990781634381E-10</v>
      </c>
      <c r="K78" s="72">
        <f>IFERROR(VLOOKUP("Tl-206",$A$4:$L$32,11)/$B78,0)</f>
        <v>2.1073990781634381E-10</v>
      </c>
      <c r="L78" s="69">
        <f t="shared" si="72"/>
        <v>10150339645.546835</v>
      </c>
    </row>
  </sheetData>
  <sheetProtection algorithmName="SHA-512" hashValue="7eYTLgY3jNn0/MfO39WNT4trNtxpKiptQF1vjigq2Ct9ILa3QetI7jnm5rNS5EsXY/yopiuX5VHGGSmjrZm0aw==" saltValue="Pl3fT3n/QNCQLJngaqxF/w==" spinCount="100000" sheet="1" formatCells="0" formatColumns="0" formatRows="0" insertColumns="0" insertRows="0" autoFilter="0"/>
  <autoFilter ref="A2:K78" xr:uid="{00000000-0009-0000-0000-000007000000}"/>
  <mergeCells count="3">
    <mergeCell ref="C1:E1"/>
    <mergeCell ref="F1:H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499984740745262"/>
  </sheetPr>
  <dimension ref="A1:K78"/>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12.7109375" defaultRowHeight="12.75"/>
  <cols>
    <col min="1" max="1" width="12.5703125" style="22" bestFit="1" customWidth="1"/>
    <col min="2" max="2" width="12" style="22" bestFit="1" customWidth="1"/>
    <col min="3" max="3" width="12.140625" style="22" bestFit="1" customWidth="1"/>
    <col min="4" max="4" width="12.7109375" style="22" bestFit="1" customWidth="1"/>
    <col min="5" max="5" width="11.85546875" style="22" bestFit="1" customWidth="1"/>
    <col min="6" max="6" width="12.140625" style="22" bestFit="1" customWidth="1"/>
    <col min="7" max="7" width="12.7109375" style="22" bestFit="1" customWidth="1"/>
    <col min="8" max="8" width="11.85546875" style="22" bestFit="1" customWidth="1"/>
    <col min="9" max="9" width="12.140625" style="22" bestFit="1" customWidth="1"/>
    <col min="10" max="10" width="12.7109375" style="22" bestFit="1" customWidth="1"/>
    <col min="11" max="11" width="11.85546875" style="22" bestFit="1" customWidth="1"/>
  </cols>
  <sheetData>
    <row r="1" spans="1:11" ht="13.5" thickBot="1">
      <c r="C1" s="146" t="s">
        <v>61</v>
      </c>
      <c r="D1" s="147"/>
      <c r="E1" s="147"/>
      <c r="F1" s="146" t="s">
        <v>138</v>
      </c>
      <c r="G1" s="147"/>
      <c r="H1" s="147"/>
      <c r="I1" s="146" t="s">
        <v>139</v>
      </c>
      <c r="J1" s="147"/>
      <c r="K1" s="147"/>
    </row>
    <row r="2" spans="1:11">
      <c r="A2" s="11" t="s">
        <v>0</v>
      </c>
      <c r="B2" s="11" t="s">
        <v>43</v>
      </c>
      <c r="C2" s="35" t="s">
        <v>240</v>
      </c>
      <c r="D2" s="36" t="s">
        <v>241</v>
      </c>
      <c r="E2" s="38" t="s">
        <v>242</v>
      </c>
      <c r="F2" s="36" t="s">
        <v>240</v>
      </c>
      <c r="G2" s="36" t="s">
        <v>241</v>
      </c>
      <c r="H2" s="38" t="s">
        <v>242</v>
      </c>
      <c r="I2" s="36" t="s">
        <v>240</v>
      </c>
      <c r="J2" s="36" t="s">
        <v>241</v>
      </c>
      <c r="K2" s="37" t="s">
        <v>242</v>
      </c>
    </row>
    <row r="3" spans="1:11" ht="13.5" thickBot="1">
      <c r="B3" s="26" t="s">
        <v>44</v>
      </c>
      <c r="C3" s="27" t="s">
        <v>143</v>
      </c>
      <c r="D3" s="28" t="s">
        <v>143</v>
      </c>
      <c r="E3" s="39" t="s">
        <v>143</v>
      </c>
      <c r="F3" s="28" t="s">
        <v>144</v>
      </c>
      <c r="G3" s="28" t="s">
        <v>144</v>
      </c>
      <c r="H3" s="39" t="s">
        <v>144</v>
      </c>
      <c r="I3" s="28" t="s">
        <v>145</v>
      </c>
      <c r="J3" s="28" t="s">
        <v>145</v>
      </c>
      <c r="K3" s="29" t="s">
        <v>145</v>
      </c>
    </row>
    <row r="4" spans="1:11">
      <c r="A4" s="87" t="s">
        <v>23</v>
      </c>
      <c r="B4" s="12" t="s">
        <v>59</v>
      </c>
      <c r="C4" s="2">
        <f>IFERROR((DL)/(Doses!H2*IRAiw*Fin*Fi*ETiw*(1/24)*EFiw),".")</f>
        <v>5.8882411823588301E-3</v>
      </c>
      <c r="D4" s="3">
        <f>IFERROR((DL)/(Doses!J2*GSFa*Fin*Fi*ETiw*(1/24)*EFiw*(1/365)),".")</f>
        <v>66275.343627851587</v>
      </c>
      <c r="E4" s="4">
        <f>IFERROR(IF(AND(ISNUMBER(C4),ISNUMBER(D4)),(1/((1/C4)+(1/D4))),IF(AND(ISNUMBER(C4),NOT(ISNUMBER(D4))),(1/(1/C4)),IF(AND(NOT(ISNUMBER(C4)),ISNUMBER(D4)),(1/(1/D4)),"."))),".")</f>
        <v>5.8882406592173538E-3</v>
      </c>
      <c r="F4" s="3">
        <f t="shared" ref="F4:F5" si="0">IFERROR(C4/_1_bq,".")</f>
        <v>2.1786492374727693E-4</v>
      </c>
      <c r="G4" s="3">
        <f t="shared" ref="G4:G5" si="1">IFERROR(D4/_1_bq,".")</f>
        <v>2452.1877142305111</v>
      </c>
      <c r="H4" s="4">
        <f t="shared" ref="H4:H5" si="2">IFERROR(E4/_1_bq,".")</f>
        <v>2.1786490439104232E-4</v>
      </c>
      <c r="I4" s="3">
        <f>IFERROR(C4*Isospec!C3*Isospec!F3*SSLcm_m,".")</f>
        <v>1.0163265602427719E-16</v>
      </c>
      <c r="J4" s="3">
        <f>IFERROR(D4*Isospec!C3*Isospec!F3*SSLcm_m,".")</f>
        <v>1.1439305886451263E-9</v>
      </c>
      <c r="K4" s="5">
        <f>IFERROR(E4*Isospec!C3*Isospec!F3*SSLcm_m,".")</f>
        <v>1.0163264699471196E-16</v>
      </c>
    </row>
    <row r="5" spans="1:11">
      <c r="A5" s="88" t="s">
        <v>14</v>
      </c>
      <c r="B5" s="12" t="s">
        <v>44</v>
      </c>
      <c r="C5" s="2">
        <f>IFERROR((DL)/(Doses!H3*IRAiw*Fin*Fi*ETiw*(1/24)*EFiw),".")</f>
        <v>5.510097253216519E-4</v>
      </c>
      <c r="D5" s="3">
        <f>IFERROR((DL)/(Doses!J3*GSFa*Fin*Fi*ETiw*(1/24)*EFiw*(1/365)),".")</f>
        <v>55821.197162744051</v>
      </c>
      <c r="E5" s="4">
        <f t="shared" ref="E5" si="3">IFERROR(IF(AND(ISNUMBER(C5),ISNUMBER(D5)),(1/((1/C5)+(1/D5))),IF(AND(ISNUMBER(C5),NOT(ISNUMBER(D5))),(1/(1/C5)),IF(AND(NOT(ISNUMBER(C5)),ISNUMBER(D5)),(1/(1/D5)),"."))),".")</f>
        <v>5.5100971988264794E-4</v>
      </c>
      <c r="F5" s="3">
        <f t="shared" si="0"/>
        <v>2.0387359836901141E-5</v>
      </c>
      <c r="G5" s="3">
        <f t="shared" si="1"/>
        <v>2065.3842950215321</v>
      </c>
      <c r="H5" s="4">
        <f t="shared" si="2"/>
        <v>2.0387359635657995E-5</v>
      </c>
      <c r="I5" s="3">
        <f>IFERROR(C5*Isospec!C4*Isospec!F4*SSLcm_m,".")</f>
        <v>1.6070119293605533E-13</v>
      </c>
      <c r="J5" s="3">
        <f>IFERROR(D5*Isospec!C4*Isospec!F4*SSLcm_m,".")</f>
        <v>1.6280171769990389E-5</v>
      </c>
      <c r="K5" s="5">
        <f>IFERROR(E5*Isospec!C4*Isospec!F4*SSLcm_m,".")</f>
        <v>1.6070119134977765E-13</v>
      </c>
    </row>
    <row r="6" spans="1:11">
      <c r="A6" s="87" t="s">
        <v>15</v>
      </c>
      <c r="B6" s="12" t="s">
        <v>59</v>
      </c>
      <c r="C6" s="2" t="str">
        <f>IFERROR((DL)/(Doses!H4*IRAiw*Fin*Fi*ETiw*(1/24)*EFiw),".")</f>
        <v>.</v>
      </c>
      <c r="D6" s="3">
        <f>IFERROR((DL)/(Doses!J4*GSFa*Fin*Fi*ETiw*(1/24)*EFiw*(1/365)),".")</f>
        <v>3538853.2540909438</v>
      </c>
      <c r="E6" s="4">
        <f t="shared" ref="E6:E8" si="4">IFERROR(IF(AND(ISNUMBER(C6),ISNUMBER(D6)),(1/((1/C6)+(1/D6))),IF(AND(ISNUMBER(C6),NOT(ISNUMBER(D6))),(1/(1/C6)),IF(AND(NOT(ISNUMBER(C6)),ISNUMBER(D6)),(1/(1/D6)),"."))),".")</f>
        <v>3538853.2540909438</v>
      </c>
      <c r="F6" s="3" t="str">
        <f t="shared" ref="F6:F7" si="5">IFERROR(C6/_1_bq,".")</f>
        <v>.</v>
      </c>
      <c r="G6" s="3">
        <f t="shared" ref="G6:G7" si="6">IFERROR(D6/_1_bq,".")</f>
        <v>130937.57040136505</v>
      </c>
      <c r="H6" s="4">
        <f t="shared" ref="H6:H7" si="7">IFERROR(E6/_1_bq,".")</f>
        <v>130937.57040136505</v>
      </c>
      <c r="I6" s="3" t="str">
        <f>IFERROR(C6*Isospec!C5*Isospec!F5*SSLcm_m,".")</f>
        <v>.</v>
      </c>
      <c r="J6" s="3">
        <f>IFERROR(D6*Isospec!C5*Isospec!F5*SSLcm_m,".")</f>
        <v>2.2022987620845067E-15</v>
      </c>
      <c r="K6" s="5">
        <f>IFERROR(E6*Isospec!C5*Isospec!F5*SSLcm_m,".")</f>
        <v>2.2022987620845067E-15</v>
      </c>
    </row>
    <row r="7" spans="1:11">
      <c r="A7" s="87" t="s">
        <v>16</v>
      </c>
      <c r="B7" s="89" t="s">
        <v>59</v>
      </c>
      <c r="C7" s="2" t="str">
        <f>IFERROR((DL)/(Doses!H5*IRAiw*Fin*Fi*ETiw*(1/24)*EFiw),".")</f>
        <v>.</v>
      </c>
      <c r="D7" s="3">
        <f>IFERROR((DL)/(Doses!J5*GSFa*Fin*Fi*ETiw*(1/24)*EFiw*(1/365)),".")</f>
        <v>38277392.340167351</v>
      </c>
      <c r="E7" s="4">
        <f t="shared" si="4"/>
        <v>38277392.340167351</v>
      </c>
      <c r="F7" s="3" t="str">
        <f t="shared" si="5"/>
        <v>.</v>
      </c>
      <c r="G7" s="3">
        <f t="shared" si="6"/>
        <v>1416263.5165861933</v>
      </c>
      <c r="H7" s="4">
        <f t="shared" si="7"/>
        <v>1416263.5165861933</v>
      </c>
      <c r="I7" s="3" t="str">
        <f>IFERROR(C7*Isospec!C6*Isospec!F6*SSLcm_m,".")</f>
        <v>.</v>
      </c>
      <c r="J7" s="3">
        <f>IFERROR(D7*Isospec!C6*Isospec!F6*SSLcm_m,".")</f>
        <v>1.1113261170299757E-12</v>
      </c>
      <c r="K7" s="5">
        <f>IFERROR(E7*Isospec!C6*Isospec!F6*SSLcm_m,".")</f>
        <v>1.1113261170299757E-12</v>
      </c>
    </row>
    <row r="8" spans="1:11">
      <c r="A8" s="87" t="s">
        <v>18</v>
      </c>
      <c r="B8" s="12" t="s">
        <v>59</v>
      </c>
      <c r="C8" s="2" t="str">
        <f>IFERROR((DL)/(Doses!H6*IRAiw*Fin*Fi*ETiw*(1/24)*EFiw),".")</f>
        <v>.</v>
      </c>
      <c r="D8" s="3">
        <f>IFERROR((DL)/(Doses!J6*GSFa*Fin*Fi*ETiw*(1/24)*EFiw*(1/365)),".")</f>
        <v>1394.4923603481043</v>
      </c>
      <c r="E8" s="4">
        <f t="shared" si="4"/>
        <v>1394.4923603481043</v>
      </c>
      <c r="F8" s="3" t="str">
        <f t="shared" ref="F8:F11" si="8">IFERROR(C8/_1_bq,".")</f>
        <v>.</v>
      </c>
      <c r="G8" s="3">
        <f t="shared" ref="G8:G11" si="9">IFERROR(D8/_1_bq,".")</f>
        <v>51.59621733287991</v>
      </c>
      <c r="H8" s="4">
        <f t="shared" ref="H8:H11" si="10">IFERROR(E8/_1_bq,".")</f>
        <v>51.59621733287991</v>
      </c>
      <c r="I8" s="3" t="str">
        <f>IFERROR(C8*Isospec!C7*Isospec!F7*SSLcm_m,".")</f>
        <v>.</v>
      </c>
      <c r="J8" s="3">
        <f>IFERROR(D8*Isospec!C7*Isospec!F7*SSLcm_m,".")</f>
        <v>2.5972876552210018E-15</v>
      </c>
      <c r="K8" s="5">
        <f>IFERROR(E8*Isospec!C7*Isospec!F7*SSLcm_m,".")</f>
        <v>2.5972876552210018E-15</v>
      </c>
    </row>
    <row r="9" spans="1:11">
      <c r="A9" s="87" t="s">
        <v>19</v>
      </c>
      <c r="B9" s="90" t="s">
        <v>59</v>
      </c>
      <c r="C9" s="2">
        <f>IFERROR((DL)/(Doses!H7*IRAiw*Fin*Fi*ETiw*(1/24)*EFiw),".")</f>
        <v>0.37023324694557569</v>
      </c>
      <c r="D9" s="3">
        <f>IFERROR((DL)/(Doses!J7*GSFa*Fin*Fi*ETiw*(1/24)*EFiw*(1/365)),".")</f>
        <v>145394.7460983101</v>
      </c>
      <c r="E9" s="4">
        <f t="shared" ref="E9:E11" si="11">IFERROR(IF(AND(ISNUMBER(C9),ISNUMBER(D9)),(1/((1/C9)+(1/D9))),IF(AND(ISNUMBER(C9),NOT(ISNUMBER(D9))),(1/(1/C9)),IF(AND(NOT(ISNUMBER(C9)),ISNUMBER(D9)),(1/(1/D9)),"."))),".")</f>
        <v>0.37023230418586961</v>
      </c>
      <c r="F9" s="3">
        <f t="shared" si="8"/>
        <v>1.3698630136986314E-2</v>
      </c>
      <c r="G9" s="3">
        <f t="shared" si="9"/>
        <v>5379.6056056374791</v>
      </c>
      <c r="H9" s="4">
        <f t="shared" si="10"/>
        <v>1.369859525487719E-2</v>
      </c>
      <c r="I9" s="3">
        <f>IFERROR(C9*Isospec!C8*Isospec!F8*SSLcm_m,".")</f>
        <v>2.9899063259167337E-15</v>
      </c>
      <c r="J9" s="3">
        <f>IFERROR(D9*Isospec!C8*Isospec!F8*SSLcm_m,".")</f>
        <v>1.1741697286799799E-9</v>
      </c>
      <c r="K9" s="5">
        <f>IFERROR(E9*Isospec!C8*Isospec!F8*SSLcm_m,".")</f>
        <v>2.9898987124373054E-15</v>
      </c>
    </row>
    <row r="10" spans="1:11">
      <c r="A10" s="87" t="s">
        <v>20</v>
      </c>
      <c r="B10" s="12" t="s">
        <v>59</v>
      </c>
      <c r="C10" s="2">
        <f>IFERROR((DL)/(Doses!H8*IRAiw*Fin*Fi*ETiw*(1/24)*EFiw),".")</f>
        <v>1.5226494099733539</v>
      </c>
      <c r="D10" s="3">
        <f>IFERROR((DL)/(Doses!J8*GSFa*Fin*Fi*ETiw*(1/24)*EFiw*(1/365)),".")</f>
        <v>6315.125335583165</v>
      </c>
      <c r="E10" s="4">
        <f t="shared" si="11"/>
        <v>1.5222823701713573</v>
      </c>
      <c r="F10" s="3">
        <f t="shared" si="8"/>
        <v>5.6338028169014148E-2</v>
      </c>
      <c r="G10" s="3">
        <f t="shared" si="9"/>
        <v>233.65963741657734</v>
      </c>
      <c r="H10" s="4">
        <f t="shared" si="10"/>
        <v>5.6324447696340277E-2</v>
      </c>
      <c r="I10" s="3">
        <f>IFERROR(C10*Isospec!C9*Isospec!F9*SSLcm_m,".")</f>
        <v>7.8768357398494712E-17</v>
      </c>
      <c r="J10" s="3">
        <f>IFERROR(D10*Isospec!C9*Isospec!F9*SSLcm_m,".")</f>
        <v>3.2668849847596146E-13</v>
      </c>
      <c r="K10" s="5">
        <f>IFERROR(E10*Isospec!C9*Isospec!F9*SSLcm_m,".")</f>
        <v>7.8749370018922123E-17</v>
      </c>
    </row>
    <row r="11" spans="1:11">
      <c r="A11" s="87" t="s">
        <v>21</v>
      </c>
      <c r="B11" s="90" t="s">
        <v>59</v>
      </c>
      <c r="C11" s="2">
        <f>IFERROR((DL)/(Doses!H9*IRAiw*Fin*Fi*ETiw*(1/24)*EFiw),".")</f>
        <v>5.4644808743169397</v>
      </c>
      <c r="D11" s="3">
        <f>IFERROR((DL)/(Doses!J9*GSFa*Fin*Fi*ETiw*(1/24)*EFiw*(1/365)),".")</f>
        <v>527.59274955504929</v>
      </c>
      <c r="E11" s="4">
        <f t="shared" si="11"/>
        <v>5.4084633408867617</v>
      </c>
      <c r="F11" s="3">
        <f t="shared" si="8"/>
        <v>0.20218579234972697</v>
      </c>
      <c r="G11" s="3">
        <f t="shared" si="9"/>
        <v>19.520931733536845</v>
      </c>
      <c r="H11" s="4">
        <f t="shared" si="10"/>
        <v>0.20011314361281038</v>
      </c>
      <c r="I11" s="3">
        <f>IFERROR(C11*Isospec!C10*Isospec!F10*SSLcm_m,".")</f>
        <v>1.2397052340910441E-16</v>
      </c>
      <c r="J11" s="3">
        <f>IFERROR(D11*Isospec!C10*Isospec!F10*SSLcm_m,".")</f>
        <v>1.1969288723581405E-14</v>
      </c>
      <c r="K11" s="5">
        <f>IFERROR(E11*Isospec!C10*Isospec!F10*SSLcm_m,".")</f>
        <v>1.226996757111894E-16</v>
      </c>
    </row>
    <row r="12" spans="1:11">
      <c r="A12" s="88" t="s">
        <v>17</v>
      </c>
      <c r="B12" s="12" t="s">
        <v>44</v>
      </c>
      <c r="C12" s="2">
        <f>IFERROR((DL)/(Doses!H10*IRAiw*Fin*Fi*ETiw*(1/24)*EFiw),".")</f>
        <v>1.2962602890660446</v>
      </c>
      <c r="D12" s="3">
        <f>IFERROR((DL)/(Doses!J10*GSFa*Fin*Fi*ETiw*(1/24)*EFiw*(1/365)),".")</f>
        <v>399062.17546131922</v>
      </c>
      <c r="E12" s="4">
        <f t="shared" ref="E12" si="12">IFERROR(IF(AND(ISNUMBER(C12),ISNUMBER(D12)),(1/((1/C12)+(1/D12))),IF(AND(ISNUMBER(C12),NOT(ISNUMBER(D12))),(1/(1/C12)),IF(AND(NOT(ISNUMBER(C12)),ISNUMBER(D12)),(1/(1/D12)),"."))),".")</f>
        <v>1.2962560784808721</v>
      </c>
      <c r="F12" s="3">
        <f t="shared" ref="F12" si="13">IFERROR(C12/_1_bq,".")</f>
        <v>4.7961630695443701E-2</v>
      </c>
      <c r="G12" s="3">
        <f t="shared" ref="G12" si="14">IFERROR(D12/_1_bq,".")</f>
        <v>14765.300492068825</v>
      </c>
      <c r="H12" s="4">
        <f t="shared" ref="H12" si="15">IFERROR(E12/_1_bq,".")</f>
        <v>4.7961474903792316E-2</v>
      </c>
      <c r="I12" s="3">
        <f>IFERROR(C12*Isospec!C11*Isospec!F11*SSLcm_m,".")</f>
        <v>1.5000453120746649E-11</v>
      </c>
      <c r="J12" s="3">
        <f>IFERROR(D12*Isospec!C11*Isospec!F11*SSLcm_m,".")</f>
        <v>4.6179872250685752E-6</v>
      </c>
      <c r="K12" s="5">
        <f>IFERROR(E12*Isospec!C11*Isospec!F11*SSLcm_m,".")</f>
        <v>1.5000404395435828E-11</v>
      </c>
    </row>
    <row r="13" spans="1:11">
      <c r="A13" s="87" t="s">
        <v>24</v>
      </c>
      <c r="B13" s="12" t="s">
        <v>59</v>
      </c>
      <c r="C13" s="2" t="str">
        <f>IFERROR((DL)/(Doses!H11*IRAiw*Fin*Fi*ETiw*(1/24)*EFiw),".")</f>
        <v>.</v>
      </c>
      <c r="D13" s="3">
        <f>IFERROR((DL)/(Doses!J11*GSFa*Fin*Fi*ETiw*(1/24)*EFiw*(1/365)),".")</f>
        <v>30009.475594691201</v>
      </c>
      <c r="E13" s="4">
        <f t="shared" ref="E13" si="16">IFERROR(IF(AND(ISNUMBER(C13),ISNUMBER(D13)),(1/((1/C13)+(1/D13))),IF(AND(ISNUMBER(C13),NOT(ISNUMBER(D13))),(1/(1/C13)),IF(AND(NOT(ISNUMBER(C13)),ISNUMBER(D13)),(1/(1/D13)),"."))),".")</f>
        <v>30009.475594691201</v>
      </c>
      <c r="F13" s="3" t="str">
        <f t="shared" ref="F13" si="17">IFERROR(C13/_1_bq,".")</f>
        <v>.</v>
      </c>
      <c r="G13" s="3">
        <f t="shared" ref="G13" si="18">IFERROR(D13/_1_bq,".")</f>
        <v>1110.3505970035756</v>
      </c>
      <c r="H13" s="4">
        <f t="shared" ref="H13" si="19">IFERROR(E13/_1_bq,".")</f>
        <v>1110.3505970035756</v>
      </c>
      <c r="I13" s="3" t="str">
        <f>IFERROR(C13*Isospec!C12*Isospec!F12*SSLcm_m,".")</f>
        <v>.</v>
      </c>
      <c r="J13" s="3">
        <f>IFERROR(D13*Isospec!C12*Isospec!F12*SSLcm_m,".")</f>
        <v>1.7312087355436683E-13</v>
      </c>
      <c r="K13" s="5">
        <f>IFERROR(E13*Isospec!C12*Isospec!F12*SSLcm_m,".")</f>
        <v>1.7312087355436683E-13</v>
      </c>
    </row>
    <row r="14" spans="1:11">
      <c r="A14" s="87" t="s">
        <v>22</v>
      </c>
      <c r="B14" s="89" t="s">
        <v>59</v>
      </c>
      <c r="C14" s="2" t="str">
        <f>IFERROR((DL)/(Doses!H12*IRAiw*Fin*Fi*ETiw*(1/24)*EFiw),".")</f>
        <v>.</v>
      </c>
      <c r="D14" s="3">
        <f>IFERROR((DL)/(Doses!J12*GSFa*Fin*Fi*ETiw*(1/24)*EFiw*(1/365)),".")</f>
        <v>6746.7346211086342</v>
      </c>
      <c r="E14" s="4">
        <f t="shared" ref="E14" si="20">IFERROR(IF(AND(ISNUMBER(C14),ISNUMBER(D14)),(1/((1/C14)+(1/D14))),IF(AND(ISNUMBER(C14),NOT(ISNUMBER(D14))),(1/(1/C14)),IF(AND(NOT(ISNUMBER(C14)),ISNUMBER(D14)),(1/(1/D14)),"."))),".")</f>
        <v>6746.7346211086342</v>
      </c>
      <c r="F14" s="3" t="str">
        <f t="shared" ref="F14" si="21">IFERROR(C14/_1_bq,".")</f>
        <v>.</v>
      </c>
      <c r="G14" s="3">
        <f t="shared" ref="G14" si="22">IFERROR(D14/_1_bq,".")</f>
        <v>249.62918098101972</v>
      </c>
      <c r="H14" s="4">
        <f t="shared" ref="H14" si="23">IFERROR(E14/_1_bq,".")</f>
        <v>249.62918098101972</v>
      </c>
      <c r="I14" s="3" t="str">
        <f>IFERROR(C14*Isospec!C13*Isospec!F13*SSLcm_m,".")</f>
        <v>.</v>
      </c>
      <c r="J14" s="3">
        <f>IFERROR(D14*Isospec!C13*Isospec!F13*SSLcm_m,".")</f>
        <v>6.0342198849052968E-14</v>
      </c>
      <c r="K14" s="5">
        <f>IFERROR(E14*Isospec!C13*Isospec!F13*SSLcm_m,".")</f>
        <v>6.0342198849052968E-14</v>
      </c>
    </row>
    <row r="15" spans="1:11">
      <c r="A15" s="87" t="s">
        <v>28</v>
      </c>
      <c r="B15" s="12" t="s">
        <v>59</v>
      </c>
      <c r="C15" s="2">
        <f>IFERROR((DL)/(Doses!H13*IRAiw*Fin*Fi*ETiw*(1/24)*EFiw),".")</f>
        <v>4.2900042900042897E-3</v>
      </c>
      <c r="D15" s="3">
        <f>IFERROR((DL)/(Doses!J13*GSFa*Fin*Fi*ETiw*(1/24)*EFiw*(1/365)),".")</f>
        <v>43618.423829493026</v>
      </c>
      <c r="E15" s="4">
        <f t="shared" ref="E15:E18" si="24">IFERROR(IF(AND(ISNUMBER(C15),ISNUMBER(D15)),(1/((1/C15)+(1/D15))),IF(AND(ISNUMBER(C15),NOT(ISNUMBER(D15))),(1/(1/C15)),IF(AND(NOT(ISNUMBER(C15)),ISNUMBER(D15)),(1/(1/D15)),"."))),".")</f>
        <v>4.2900038680693964E-3</v>
      </c>
      <c r="F15" s="3">
        <f t="shared" ref="F15:F16" si="25">IFERROR(C15/_1_bq,".")</f>
        <v>1.5873015873015889E-4</v>
      </c>
      <c r="G15" s="3">
        <f t="shared" ref="G15:G16" si="26">IFERROR(D15/_1_bq,".")</f>
        <v>1613.8816816912436</v>
      </c>
      <c r="H15" s="4">
        <f t="shared" ref="H15:H16" si="27">IFERROR(E15/_1_bq,".")</f>
        <v>1.5873014311856783E-4</v>
      </c>
      <c r="I15" s="3">
        <f>IFERROR(C15*Isospec!C14*Isospec!F14*SSLcm_m,".")</f>
        <v>6.1036396396396403E-9</v>
      </c>
      <c r="J15" s="3">
        <f>IFERROR(D15*Isospec!C14*Isospec!F14*SSLcm_m,".")</f>
        <v>6.2058478898171378E-2</v>
      </c>
      <c r="K15" s="5">
        <f>IFERROR(E15*Isospec!C14*Isospec!F14*SSLcm_m,".")</f>
        <v>6.1036390393282256E-9</v>
      </c>
    </row>
    <row r="16" spans="1:11">
      <c r="A16" s="87" t="s">
        <v>29</v>
      </c>
      <c r="B16" s="12" t="s">
        <v>59</v>
      </c>
      <c r="C16" s="2">
        <f>IFERROR((DL)/(Doses!H14*IRAiw*Fin*Fi*ETiw*(1/24)*EFiw),".")</f>
        <v>11.853959222380276</v>
      </c>
      <c r="D16" s="3">
        <f>IFERROR((DL)/(Doses!J14*GSFa*Fin*Fi*ETiw*(1/24)*EFiw*(1/365)),".")</f>
        <v>4046.5851664901829</v>
      </c>
      <c r="E16" s="4">
        <f t="shared" si="24"/>
        <v>11.819335973172077</v>
      </c>
      <c r="F16" s="3">
        <f t="shared" si="25"/>
        <v>0.43859649122807065</v>
      </c>
      <c r="G16" s="3">
        <f t="shared" si="26"/>
        <v>149.72365116013691</v>
      </c>
      <c r="H16" s="4">
        <f t="shared" si="27"/>
        <v>0.43731543100736731</v>
      </c>
      <c r="I16" s="3">
        <f>IFERROR(C16*Isospec!C15*Isospec!F15*SSLcm_m,".")</f>
        <v>5.71369629182175E-13</v>
      </c>
      <c r="J16" s="3">
        <f>IFERROR(D16*Isospec!C15*Isospec!F15*SSLcm_m,".")</f>
        <v>1.9504840725842454E-10</v>
      </c>
      <c r="K16" s="5">
        <f>IFERROR(E16*Isospec!C15*Isospec!F15*SSLcm_m,".")</f>
        <v>5.6970076288273453E-13</v>
      </c>
    </row>
    <row r="17" spans="1:11">
      <c r="A17" s="87" t="s">
        <v>32</v>
      </c>
      <c r="B17" s="12" t="s">
        <v>59</v>
      </c>
      <c r="C17" s="2">
        <f>IFERROR((DL)/(Doses!H15*IRAiw*Fin*Fi*ETiw*(1/24)*EFiw),".")</f>
        <v>774.41338186323878</v>
      </c>
      <c r="D17" s="3">
        <f>IFERROR((DL)/(Doses!J15*GSFa*Fin*Fi*ETiw*(1/24)*EFiw*(1/365)),".")</f>
        <v>375118.44493364001</v>
      </c>
      <c r="E17" s="4">
        <f t="shared" si="24"/>
        <v>772.81793764890494</v>
      </c>
      <c r="F17" s="3">
        <f t="shared" ref="F17:F23" si="28">IFERROR(C17/_1_bq,".")</f>
        <v>28.653295128939863</v>
      </c>
      <c r="G17" s="3">
        <f t="shared" ref="G17:G23" si="29">IFERROR(D17/_1_bq,".")</f>
        <v>13879.382462544694</v>
      </c>
      <c r="H17" s="4">
        <f t="shared" ref="H17:H23" si="30">IFERROR(E17/_1_bq,".")</f>
        <v>28.594263693009513</v>
      </c>
      <c r="I17" s="3">
        <f>IFERROR(C17*Isospec!C16*Isospec!F16*SSLcm_m,".")</f>
        <v>1.6828954007978218E-13</v>
      </c>
      <c r="J17" s="3">
        <f>IFERROR(D17*Isospec!C16*Isospec!F16*SSLcm_m,".")</f>
        <v>8.1517845703335038E-11</v>
      </c>
      <c r="K17" s="5">
        <f>IFERROR(E17*Isospec!C16*Isospec!F16*SSLcm_m,".")</f>
        <v>1.6794283045499861E-13</v>
      </c>
    </row>
    <row r="18" spans="1:11">
      <c r="A18" s="87" t="s">
        <v>33</v>
      </c>
      <c r="B18" s="90" t="s">
        <v>59</v>
      </c>
      <c r="C18" s="2">
        <f>IFERROR((DL)/(Doses!H16*IRAiw*Fin*Fi*ETiw*(1/24)*EFiw),".")</f>
        <v>8.9641880686656805E-3</v>
      </c>
      <c r="D18" s="3">
        <f>IFERROR((DL)/(Doses!J16*GSFa*Fin*Fi*ETiw*(1/24)*EFiw*(1/365)),".")</f>
        <v>796429.81939201686</v>
      </c>
      <c r="E18" s="4">
        <f t="shared" si="24"/>
        <v>8.9641879677695747E-3</v>
      </c>
      <c r="F18" s="3">
        <f t="shared" si="28"/>
        <v>3.316749585406305E-4</v>
      </c>
      <c r="G18" s="3">
        <f t="shared" si="29"/>
        <v>29467.903317504653</v>
      </c>
      <c r="H18" s="4">
        <f t="shared" si="30"/>
        <v>3.3167495480747458E-4</v>
      </c>
      <c r="I18" s="3">
        <f>IFERROR(C18*Isospec!C17*Isospec!F17*SSLcm_m,".")</f>
        <v>1.1701492537313433E-13</v>
      </c>
      <c r="J18" s="3">
        <f>IFERROR(D18*Isospec!C17*Isospec!F17*SSLcm_m,".")</f>
        <v>1.0396276290415632E-5</v>
      </c>
      <c r="K18" s="5">
        <f>IFERROR(E18*Isospec!C17*Isospec!F17*SSLcm_m,".")</f>
        <v>1.1701492405607692E-13</v>
      </c>
    </row>
    <row r="19" spans="1:11">
      <c r="A19" s="87" t="s">
        <v>34</v>
      </c>
      <c r="B19" s="90" t="s">
        <v>59</v>
      </c>
      <c r="C19" s="2">
        <f>IFERROR((DL)/(Doses!H17*IRAiw*Fin*Fi*ETiw*(1/24)*EFiw),".")</f>
        <v>4.2918454935622323</v>
      </c>
      <c r="D19" s="3">
        <f>IFERROR((DL)/(Doses!J17*GSFa*Fin*Fi*ETiw*(1/24)*EFiw*(1/365)),".")</f>
        <v>3379.4454498526129</v>
      </c>
      <c r="E19" s="4">
        <f t="shared" ref="E19:E23" si="31">IFERROR(IF(AND(ISNUMBER(C19),ISNUMBER(D19)),(1/((1/C19)+(1/D19))),IF(AND(ISNUMBER(C19),NOT(ISNUMBER(D19))),(1/(1/C19)),IF(AND(NOT(ISNUMBER(C19)),ISNUMBER(D19)),(1/(1/D19)),"."))),".")</f>
        <v>4.2864018269495956</v>
      </c>
      <c r="F19" s="3">
        <f t="shared" si="28"/>
        <v>0.15879828326180276</v>
      </c>
      <c r="G19" s="3">
        <f t="shared" si="29"/>
        <v>125.03948164454681</v>
      </c>
      <c r="H19" s="4">
        <f t="shared" si="30"/>
        <v>0.1585968675971352</v>
      </c>
      <c r="I19" s="3">
        <f>IFERROR(C19*Isospec!C18*Isospec!F18*SSLcm_m,".")</f>
        <v>1.311279649335961E-16</v>
      </c>
      <c r="J19" s="3">
        <f>IFERROR(D19*Isospec!C18*Isospec!F18*SSLcm_m,".")</f>
        <v>1.032515744352829E-13</v>
      </c>
      <c r="K19" s="5">
        <f>IFERROR(E19*Isospec!C18*Isospec!F18*SSLcm_m,".")</f>
        <v>1.3096164559014286E-16</v>
      </c>
    </row>
    <row r="20" spans="1:11">
      <c r="A20" s="87" t="s">
        <v>36</v>
      </c>
      <c r="B20" s="90" t="s">
        <v>59</v>
      </c>
      <c r="C20" s="2">
        <f>IFERROR((DL)/(Doses!H18*IRAiw*Fin*Fi*ETiw*(1/24)*EFiw),".")</f>
        <v>1.1550011550011551E-2</v>
      </c>
      <c r="D20" s="3">
        <f>IFERROR((DL)/(Doses!J18*GSFa*Fin*Fi*ETiw*(1/24)*EFiw*(1/365)),".")</f>
        <v>84296279.760368556</v>
      </c>
      <c r="E20" s="4">
        <f t="shared" si="31"/>
        <v>1.1550011548429004E-2</v>
      </c>
      <c r="F20" s="3">
        <f t="shared" si="28"/>
        <v>4.2735042735042784E-4</v>
      </c>
      <c r="G20" s="3">
        <f t="shared" si="29"/>
        <v>3118962.3511336399</v>
      </c>
      <c r="H20" s="4">
        <f t="shared" si="30"/>
        <v>4.273504272918736E-4</v>
      </c>
      <c r="I20" s="3">
        <f>IFERROR(C20*Isospec!C19*Isospec!F19*SSLcm_m,".")</f>
        <v>2.5747060442950628E-15</v>
      </c>
      <c r="J20" s="3">
        <f>IFERROR(D20*Isospec!C19*Isospec!F19*SSLcm_m,".")</f>
        <v>1.8791162248698485E-5</v>
      </c>
      <c r="K20" s="5">
        <f>IFERROR(E20*Isospec!C19*Isospec!F19*SSLcm_m,".")</f>
        <v>2.5747060439422849E-15</v>
      </c>
    </row>
    <row r="21" spans="1:11">
      <c r="A21" s="87" t="s">
        <v>37</v>
      </c>
      <c r="B21" s="12" t="s">
        <v>59</v>
      </c>
      <c r="C21" s="2" t="str">
        <f>IFERROR((DL)/(Doses!H19*IRAiw*Fin*Fi*ETiw*(1/24)*EFiw),".")</f>
        <v>.</v>
      </c>
      <c r="D21" s="3">
        <f>IFERROR((DL)/(Doses!J19*GSFa*Fin*Fi*ETiw*(1/24)*EFiw*(1/365)),".")</f>
        <v>21936751.165709943</v>
      </c>
      <c r="E21" s="4">
        <f t="shared" si="31"/>
        <v>21936751.165709943</v>
      </c>
      <c r="F21" s="3" t="str">
        <f t="shared" si="28"/>
        <v>.</v>
      </c>
      <c r="G21" s="3">
        <f t="shared" si="29"/>
        <v>811659.7931312687</v>
      </c>
      <c r="H21" s="4">
        <f t="shared" si="30"/>
        <v>811659.7931312687</v>
      </c>
      <c r="I21" s="3" t="str">
        <f>IFERROR(C21*Isospec!C20*Isospec!F20*SSLcm_m,".")</f>
        <v>.</v>
      </c>
      <c r="J21" s="3">
        <f>IFERROR(D21*Isospec!C20*Isospec!F20*SSLcm_m,".")</f>
        <v>1.7424191165640222E-18</v>
      </c>
      <c r="K21" s="5">
        <f>IFERROR(E21*Isospec!C20*Isospec!F20*SSLcm_m,".")</f>
        <v>1.7424191165640222E-18</v>
      </c>
    </row>
    <row r="22" spans="1:11">
      <c r="A22" s="87" t="s">
        <v>38</v>
      </c>
      <c r="B22" s="90" t="s">
        <v>59</v>
      </c>
      <c r="C22" s="2" t="str">
        <f>IFERROR((DL)/(Doses!H20*IRAiw*Fin*Fi*ETiw*(1/24)*EFiw),".")</f>
        <v>.</v>
      </c>
      <c r="D22" s="3">
        <f>IFERROR((DL)/(Doses!J20*GSFa*Fin*Fi*ETiw*(1/24)*EFiw*(1/365)),".")</f>
        <v>9871538.0245694742</v>
      </c>
      <c r="E22" s="4">
        <f t="shared" si="31"/>
        <v>9871538.0245694742</v>
      </c>
      <c r="F22" s="3" t="str">
        <f t="shared" si="28"/>
        <v>.</v>
      </c>
      <c r="G22" s="3">
        <f t="shared" si="29"/>
        <v>365246.90690907091</v>
      </c>
      <c r="H22" s="4">
        <f t="shared" si="30"/>
        <v>365246.90690907091</v>
      </c>
      <c r="I22" s="3" t="str">
        <f>IFERROR(C22*Isospec!C21*Isospec!F21*SSLcm_m,".")</f>
        <v>.</v>
      </c>
      <c r="J22" s="3">
        <f>IFERROR(D22*Isospec!C21*Isospec!F21*SSLcm_m,".")</f>
        <v>3.0816803129886645E-17</v>
      </c>
      <c r="K22" s="5">
        <f>IFERROR(E22*Isospec!C21*Isospec!F21*SSLcm_m,".")</f>
        <v>3.0816803129886645E-17</v>
      </c>
    </row>
    <row r="23" spans="1:11">
      <c r="A23" s="87" t="s">
        <v>39</v>
      </c>
      <c r="B23" s="90" t="s">
        <v>59</v>
      </c>
      <c r="C23" s="2">
        <f>IFERROR((DL)/(Doses!H21*IRAiw*Fin*Fi*ETiw*(1/24)*EFiw),".")</f>
        <v>26.246719160104991</v>
      </c>
      <c r="D23" s="3">
        <f>IFERROR((DL)/(Doses!J21*GSFa*Fin*Fi*ETiw*(1/24)*EFiw*(1/365)),".")</f>
        <v>14317497898.230534</v>
      </c>
      <c r="E23" s="4">
        <f t="shared" si="31"/>
        <v>26.246719111989719</v>
      </c>
      <c r="F23" s="3">
        <f t="shared" si="28"/>
        <v>0.97112860892388564</v>
      </c>
      <c r="G23" s="3">
        <f t="shared" si="29"/>
        <v>529747422.23453027</v>
      </c>
      <c r="H23" s="4">
        <f t="shared" si="30"/>
        <v>0.97112860714362059</v>
      </c>
      <c r="I23" s="3">
        <f>IFERROR(C23*Isospec!C22*Isospec!F22*SSLcm_m,".")</f>
        <v>9.4492183910800923E-17</v>
      </c>
      <c r="J23" s="3">
        <f>IFERROR(D23*Isospec!C22*Isospec!F22*SSLcm_m,".")</f>
        <v>5.1545171657054192E-8</v>
      </c>
      <c r="K23" s="5">
        <f>IFERROR(E23*Isospec!C22*Isospec!F22*SSLcm_m,".")</f>
        <v>9.4492183737578618E-17</v>
      </c>
    </row>
    <row r="24" spans="1:11">
      <c r="A24" s="87" t="s">
        <v>26</v>
      </c>
      <c r="B24" s="12" t="s">
        <v>59</v>
      </c>
      <c r="C24" s="2">
        <f>IFERROR((DL)/(Doses!H22*IRAiw*Fin*Fi*ETiw*(1/24)*EFiw),".")</f>
        <v>6.4273548221229562E-3</v>
      </c>
      <c r="D24" s="3">
        <f>IFERROR((DL)/(Doses!J22*GSFa*Fin*Fi*ETiw*(1/24)*EFiw*(1/365)),".")</f>
        <v>151869.81576260729</v>
      </c>
      <c r="E24" s="4">
        <f t="shared" ref="E24:E25" si="32">IFERROR(IF(AND(ISNUMBER(C24),ISNUMBER(D24)),(1/((1/C24)+(1/D24))),IF(AND(ISNUMBER(C24),NOT(ISNUMBER(D24))),(1/(1/C24)),IF(AND(NOT(ISNUMBER(C24)),ISNUMBER(D24)),(1/(1/D24)),"."))),".")</f>
        <v>6.4273545501078218E-3</v>
      </c>
      <c r="F24" s="3">
        <f t="shared" ref="F24:F25" si="33">IFERROR(C24/_1_bq,".")</f>
        <v>2.3781212841854962E-4</v>
      </c>
      <c r="G24" s="3">
        <f t="shared" ref="G24:G25" si="34">IFERROR(D24/_1_bq,".")</f>
        <v>5619.1831832164753</v>
      </c>
      <c r="H24" s="4">
        <f t="shared" ref="H24:H25" si="35">IFERROR(E24/_1_bq,".")</f>
        <v>2.3781211835398965E-4</v>
      </c>
      <c r="I24" s="3">
        <f>IFERROR(C24*Isospec!C23*Isospec!F23*SSLcm_m,".")</f>
        <v>1.6529747867196694E-16</v>
      </c>
      <c r="J24" s="3">
        <f>IFERROR(D24*Isospec!C23*Isospec!F23*SSLcm_m,".")</f>
        <v>3.9057587960646266E-9</v>
      </c>
      <c r="K24" s="5">
        <f>IFERROR(E24*Isospec!C23*Isospec!F23*SSLcm_m,".")</f>
        <v>1.6529747167633387E-16</v>
      </c>
    </row>
    <row r="25" spans="1:11">
      <c r="A25" s="88" t="s">
        <v>27</v>
      </c>
      <c r="B25" s="90" t="s">
        <v>44</v>
      </c>
      <c r="C25" s="2">
        <f>IFERROR((DL)/(Doses!H23*IRAiw*Fin*Fi*ETiw*(1/24)*EFiw),".")</f>
        <v>5.2479664130149562E-3</v>
      </c>
      <c r="D25" s="3">
        <f>IFERROR((DL)/(Doses!J23*GSFa*Fin*Fi*ETiw*(1/24)*EFiw*(1/365)),".")</f>
        <v>120616.86332271382</v>
      </c>
      <c r="E25" s="4">
        <f t="shared" si="32"/>
        <v>5.247966184679138E-3</v>
      </c>
      <c r="F25" s="3">
        <f t="shared" si="33"/>
        <v>1.9417475728155357E-4</v>
      </c>
      <c r="G25" s="3">
        <f t="shared" si="34"/>
        <v>4462.8239429404157</v>
      </c>
      <c r="H25" s="4">
        <f t="shared" si="35"/>
        <v>1.9417474883312829E-4</v>
      </c>
      <c r="I25" s="3">
        <f>IFERROR(C25*Isospec!C24*Isospec!F24*SSLcm_m,".")</f>
        <v>5.3134610338493834E-12</v>
      </c>
      <c r="J25" s="3">
        <f>IFERROR(D25*Isospec!C24*Isospec!F24*SSLcm_m,".")</f>
        <v>1.221221617769813E-4</v>
      </c>
      <c r="K25" s="5">
        <f>IFERROR(E25*Isospec!C24*Isospec!F24*SSLcm_m,".")</f>
        <v>5.3134608026639343E-12</v>
      </c>
    </row>
    <row r="26" spans="1:11">
      <c r="A26" s="87" t="s">
        <v>30</v>
      </c>
      <c r="B26" s="90" t="s">
        <v>59</v>
      </c>
      <c r="C26" s="2" t="str">
        <f>IFERROR((DL)/(Doses!H24*IRAiw*Fin*Fi*ETiw*(1/24)*EFiw),".")</f>
        <v>.</v>
      </c>
      <c r="D26" s="3">
        <f>IFERROR((DL)/(Doses!J24*GSFa*Fin*Fi*ETiw*(1/24)*EFiw*(1/365)),".")</f>
        <v>1103289.5439224706</v>
      </c>
      <c r="E26" s="4">
        <f t="shared" ref="E26:E27" si="36">IFERROR(IF(AND(ISNUMBER(C26),ISNUMBER(D26)),(1/((1/C26)+(1/D26))),IF(AND(ISNUMBER(C26),NOT(ISNUMBER(D26))),(1/(1/C26)),IF(AND(NOT(ISNUMBER(C26)),ISNUMBER(D26)),(1/(1/D26)),"."))),".")</f>
        <v>1103289.5439224706</v>
      </c>
      <c r="F26" s="3" t="str">
        <f t="shared" ref="F26:F27" si="37">IFERROR(C26/_1_bq,".")</f>
        <v>.</v>
      </c>
      <c r="G26" s="3">
        <f t="shared" ref="G26:G27" si="38">IFERROR(D26/_1_bq,".")</f>
        <v>40821.713125131457</v>
      </c>
      <c r="H26" s="4">
        <f t="shared" ref="H26:H27" si="39">IFERROR(E26/_1_bq,".")</f>
        <v>40821.713125131457</v>
      </c>
      <c r="I26" s="3" t="str">
        <f>IFERROR(C26*Isospec!C25*Isospec!F25*SSLcm_m,".")</f>
        <v>.</v>
      </c>
      <c r="J26" s="3">
        <f>IFERROR(D26*Isospec!C25*Isospec!F25*SSLcm_m,".")</f>
        <v>7.4742129047312602E-16</v>
      </c>
      <c r="K26" s="5">
        <f>IFERROR(E26*Isospec!C25*Isospec!F25*SSLcm_m,".")</f>
        <v>7.4742129047312602E-16</v>
      </c>
    </row>
    <row r="27" spans="1:11">
      <c r="A27" s="88" t="s">
        <v>31</v>
      </c>
      <c r="B27" s="90" t="s">
        <v>44</v>
      </c>
      <c r="C27" s="2">
        <f>IFERROR((DL)/(Doses!H25*IRAiw*Fin*Fi*ETiw*(1/24)*EFiw),".")</f>
        <v>30.534351145038173</v>
      </c>
      <c r="D27" s="3">
        <f>IFERROR((DL)/(Doses!J25*GSFa*Fin*Fi*ETiw*(1/24)*EFiw*(1/365)),".")</f>
        <v>2168314.7105990751</v>
      </c>
      <c r="E27" s="4">
        <f t="shared" si="36"/>
        <v>30.533921164341134</v>
      </c>
      <c r="F27" s="3">
        <f t="shared" si="37"/>
        <v>1.1297709923664134</v>
      </c>
      <c r="G27" s="3">
        <f t="shared" si="38"/>
        <v>80227.64429216586</v>
      </c>
      <c r="H27" s="4">
        <f t="shared" si="39"/>
        <v>1.1297550830806231</v>
      </c>
      <c r="I27" s="3">
        <f>IFERROR(C27*Isospec!C26*Isospec!F26*SSLcm_m,".")</f>
        <v>1.9882359928891807E-13</v>
      </c>
      <c r="J27" s="3">
        <f>IFERROR(D27*Isospec!C26*Isospec!F26*SSLcm_m,".")</f>
        <v>1.4118922426241649E-8</v>
      </c>
      <c r="K27" s="5">
        <f>IFERROR(E27*Isospec!C26*Isospec!F26*SSLcm_m,".")</f>
        <v>1.9882079948127176E-13</v>
      </c>
    </row>
    <row r="28" spans="1:11">
      <c r="A28" s="87" t="s">
        <v>35</v>
      </c>
      <c r="B28" s="12" t="s">
        <v>59</v>
      </c>
      <c r="C28" s="2">
        <f>IFERROR((DL)/(Doses!H26*IRAiw*Fin*Fi*ETiw*(1/24)*EFiw),".")</f>
        <v>7.1594773581528553E-4</v>
      </c>
      <c r="D28" s="3">
        <f>IFERROR((DL)/(Doses!J26*GSFa*Fin*Fi*ETiw*(1/24)*EFiw*(1/365)),".")</f>
        <v>11298.7483413747</v>
      </c>
      <c r="E28" s="4">
        <f t="shared" ref="E28" si="40">IFERROR(IF(AND(ISNUMBER(C28),ISNUMBER(D28)),(1/((1/C28)+(1/D28))),IF(AND(ISNUMBER(C28),NOT(ISNUMBER(D28))),(1/(1/C28)),IF(AND(NOT(ISNUMBER(C28)),ISNUMBER(D28)),(1/(1/D28)),"."))),".")</f>
        <v>7.1594769044909859E-4</v>
      </c>
      <c r="F28" s="3">
        <f t="shared" ref="F28" si="41">IFERROR(C28/_1_bq,".")</f>
        <v>2.6490066225165592E-5</v>
      </c>
      <c r="G28" s="3">
        <f t="shared" ref="G28" si="42">IFERROR(D28/_1_bq,".")</f>
        <v>418.05368863086431</v>
      </c>
      <c r="H28" s="4">
        <f t="shared" ref="H28" si="43">IFERROR(E28/_1_bq,".")</f>
        <v>2.6490064546616674E-5</v>
      </c>
      <c r="I28" s="3">
        <f>IFERROR(C28*Isospec!C27*Isospec!F27*SSLcm_m,".")</f>
        <v>3.3695421514229464E-12</v>
      </c>
      <c r="J28" s="3">
        <f>IFERROR(D28*Isospec!C27*Isospec!F27*SSLcm_m,".")</f>
        <v>5.3176519583832624E-5</v>
      </c>
      <c r="K28" s="5">
        <f>IFERROR(E28*Isospec!C27*Isospec!F27*SSLcm_m,".")</f>
        <v>3.3695419379111614E-12</v>
      </c>
    </row>
    <row r="29" spans="1:11">
      <c r="A29" s="87" t="s">
        <v>40</v>
      </c>
      <c r="B29" s="90" t="s">
        <v>59</v>
      </c>
      <c r="C29" s="2" t="str">
        <f>IFERROR((DL)/(Doses!H27*IRAiw*Fin*Fi*ETiw*(1/24)*EFiw),".")</f>
        <v>.</v>
      </c>
      <c r="D29" s="3">
        <f>IFERROR((DL)/(Doses!J27*GSFa*Fin*Fi*ETiw*(1/24)*EFiw*(1/365)),".")</f>
        <v>94488.273283032759</v>
      </c>
      <c r="E29" s="4">
        <f t="shared" ref="E29:E32" si="44">IFERROR(IF(AND(ISNUMBER(C29),ISNUMBER(D29)),(1/((1/C29)+(1/D29))),IF(AND(ISNUMBER(C29),NOT(ISNUMBER(D29))),(1/(1/C29)),IF(AND(NOT(ISNUMBER(C29)),ISNUMBER(D29)),(1/(1/D29)),"."))),".")</f>
        <v>94488.273283032759</v>
      </c>
      <c r="F29" s="3" t="str">
        <f t="shared" ref="F29:F32" si="45">IFERROR(C29/_1_bq,".")</f>
        <v>.</v>
      </c>
      <c r="G29" s="3">
        <f t="shared" ref="G29:G32" si="46">IFERROR(D29/_1_bq,".")</f>
        <v>3496.0661114722157</v>
      </c>
      <c r="H29" s="4">
        <f t="shared" ref="H29:H32" si="47">IFERROR(E29/_1_bq,".")</f>
        <v>3496.0661114722157</v>
      </c>
      <c r="I29" s="3" t="str">
        <f>IFERROR(C29*Isospec!C28*Isospec!F28*SSLcm_m,".")</f>
        <v>.</v>
      </c>
      <c r="J29" s="3">
        <f>IFERROR(D29*Isospec!C28*Isospec!F28*SSLcm_m,".")</f>
        <v>4.355089637072765E-13</v>
      </c>
      <c r="K29" s="5">
        <f>IFERROR(E29*Isospec!C28*Isospec!F28*SSLcm_m,".")</f>
        <v>4.355089637072765E-13</v>
      </c>
    </row>
    <row r="30" spans="1:11">
      <c r="A30" s="87" t="s">
        <v>41</v>
      </c>
      <c r="B30" s="12" t="s">
        <v>59</v>
      </c>
      <c r="C30" s="2" t="str">
        <f>IFERROR((DL)/(Doses!H28*IRAiw*Fin*Fi*ETiw*(1/24)*EFiw),".")</f>
        <v>.</v>
      </c>
      <c r="D30" s="3">
        <f>IFERROR((DL)/(Doses!J28*GSFa*Fin*Fi*ETiw*(1/24)*EFiw*(1/365)),".")</f>
        <v>367.76318130749024</v>
      </c>
      <c r="E30" s="4">
        <f t="shared" si="44"/>
        <v>367.76318130749024</v>
      </c>
      <c r="F30" s="3" t="str">
        <f t="shared" si="45"/>
        <v>.</v>
      </c>
      <c r="G30" s="3">
        <f t="shared" si="46"/>
        <v>13.607237708377152</v>
      </c>
      <c r="H30" s="4">
        <f t="shared" si="47"/>
        <v>13.607237708377152</v>
      </c>
      <c r="I30" s="3" t="str">
        <f>IFERROR(C30*Isospec!C29*Isospec!F29*SSLcm_m,".")</f>
        <v>.</v>
      </c>
      <c r="J30" s="3">
        <f>IFERROR(D30*Isospec!C29*Isospec!F29*SSLcm_m,".")</f>
        <v>8.8485472718449174E-16</v>
      </c>
      <c r="K30" s="5">
        <f>IFERROR(E30*Isospec!C29*Isospec!F29*SSLcm_m,".")</f>
        <v>8.8485472718449174E-16</v>
      </c>
    </row>
    <row r="31" spans="1:11">
      <c r="A31" s="87" t="s">
        <v>42</v>
      </c>
      <c r="B31" s="90" t="s">
        <v>59</v>
      </c>
      <c r="C31" s="2" t="str">
        <f>IFERROR((DL)/(Doses!H29*IRAiw*Fin*Fi*ETiw*(1/24)*EFiw),".")</f>
        <v>.</v>
      </c>
      <c r="D31" s="3">
        <f>IFERROR((DL)/(Doses!J29*GSFa*Fin*Fi*ETiw*(1/24)*EFiw*(1/365)),".")</f>
        <v>284.18064010124243</v>
      </c>
      <c r="E31" s="4">
        <f t="shared" si="44"/>
        <v>284.18064010124243</v>
      </c>
      <c r="F31" s="3" t="str">
        <f t="shared" si="45"/>
        <v>.</v>
      </c>
      <c r="G31" s="3">
        <f t="shared" si="46"/>
        <v>10.514683683745981</v>
      </c>
      <c r="H31" s="4">
        <f t="shared" si="47"/>
        <v>10.514683683745981</v>
      </c>
      <c r="I31" s="3" t="str">
        <f>IFERROR(C31*Isospec!C30*Isospec!F30*SSLcm_m,".")</f>
        <v>.</v>
      </c>
      <c r="J31" s="3">
        <f>IFERROR(D31*Isospec!C30*Isospec!F30*SSLcm_m,".")</f>
        <v>4.1329467521572758E-16</v>
      </c>
      <c r="K31" s="5">
        <f>IFERROR(E31*Isospec!C30*Isospec!F30*SSLcm_m,".")</f>
        <v>4.1329467521572758E-16</v>
      </c>
    </row>
    <row r="32" spans="1:11">
      <c r="A32" s="87" t="s">
        <v>25</v>
      </c>
      <c r="B32" s="12" t="s">
        <v>59</v>
      </c>
      <c r="C32" s="2">
        <f>IFERROR((DL)/(Doses!H30*IRAiw*Fin*Fi*ETiw*(1/24)*EFiw),".")</f>
        <v>5.2479664130149562E-3</v>
      </c>
      <c r="D32" s="3">
        <f>IFERROR((DL)/(Doses!J30*GSFa*Fin*Fi*ETiw*(1/24)*EFiw*(1/365)),".")</f>
        <v>3538853.2540909438</v>
      </c>
      <c r="E32" s="4">
        <f t="shared" si="44"/>
        <v>5.2479664052324489E-3</v>
      </c>
      <c r="F32" s="3">
        <f t="shared" si="45"/>
        <v>1.9417475728155357E-4</v>
      </c>
      <c r="G32" s="3">
        <f t="shared" si="46"/>
        <v>130937.57040136505</v>
      </c>
      <c r="H32" s="4">
        <f t="shared" si="47"/>
        <v>1.9417475699360081E-4</v>
      </c>
      <c r="I32" s="3">
        <f>IFERROR(C32*Isospec!C31*Isospec!F31*SSLcm_m,".")</f>
        <v>5.4506470742587243E-10</v>
      </c>
      <c r="J32" s="3">
        <f>IFERROR(D32*Isospec!C31*Isospec!F31*SSLcm_m,".")</f>
        <v>0.3675526597846539</v>
      </c>
      <c r="K32" s="5">
        <f>IFERROR(E32*Isospec!C31*Isospec!F31*SSLcm_m,".")</f>
        <v>5.4506470661756508E-10</v>
      </c>
    </row>
    <row r="33" spans="1:11">
      <c r="A33" s="30" t="s">
        <v>14</v>
      </c>
      <c r="B33" s="30" t="s">
        <v>59</v>
      </c>
      <c r="C33" s="76">
        <f>IFERROR(1/SUM(1/C34,1/C35,1/C36,1/C37,1/C38,1/C39,1/C40,1/C43,1/C46),0)</f>
        <v>2.5243554086494492E-4</v>
      </c>
      <c r="D33" s="77">
        <f>IFERROR(1/SUM(1/D34,1/D35,1/D36,1/D37,1/D38,1/D39,1/D40,1/D41,1/D42,1/D43,1/D44,1/D45,1/D46),0)</f>
        <v>1538.7143113061227</v>
      </c>
      <c r="E33" s="78">
        <f>IFERROR(1/SUM(1/E34,1/E35,1/E36,1/E37,1/E38,1/E39,1/E40,1/E41,1/E42,1/E43,1/E44,1/E45,1/E46),0)</f>
        <v>2.5243549945134955E-4</v>
      </c>
      <c r="F33" s="76">
        <f>IFERROR(1/SUM(1/F34,1/F35,1/F36,1/F37,1/F38,1/F39,1/F40,1/F43,1/F46),0)</f>
        <v>9.3401150120029701E-6</v>
      </c>
      <c r="G33" s="77">
        <f>IFERROR(1/SUM(1/G34,1/G35,1/G36,1/G37,1/G38,1/G39,1/G40,1/G41,1/G42,1/G43,1/G44,1/G45,1/G46),0)</f>
        <v>56.9324295183266</v>
      </c>
      <c r="H33" s="78">
        <f>IFERROR(1/SUM(1/H34,1/H35,1/H36,1/H37,1/H38,1/H39,1/H40,1/H41,1/H42,1/H43,1/H44,1/H45,1/H46),0)</f>
        <v>9.3401134796999432E-6</v>
      </c>
      <c r="I33" s="20">
        <f>IFERROR(C33*Isospec!$C$4*Isospec!$F$4*SSLcm_m,".")</f>
        <v>7.362246198608234E-14</v>
      </c>
      <c r="J33" s="19">
        <f>IFERROR(D33*Isospec!$C$4*Isospec!$F$4*SSLcm_m,".")</f>
        <v>4.4876381314382245E-7</v>
      </c>
      <c r="K33" s="21">
        <f>IFERROR(E33*Isospec!$C$4*Isospec!$F$4*SSLcm_m,".")</f>
        <v>7.3622449907866884E-14</v>
      </c>
    </row>
    <row r="34" spans="1:11">
      <c r="A34" s="31" t="s">
        <v>175</v>
      </c>
      <c r="B34" s="32">
        <v>1</v>
      </c>
      <c r="C34" s="70">
        <f>IFERROR(VLOOKUP("Am-241",$A$4:$L$32,3)/$B34,0)</f>
        <v>5.510097253216519E-4</v>
      </c>
      <c r="D34" s="71">
        <f>IFERROR(VLOOKUP("Am-241",$A$4:$L$32,4)/$B34,0)</f>
        <v>55821.197162744051</v>
      </c>
      <c r="E34" s="72">
        <f>IFERROR(IF(AND(C34&lt;&gt;0,D34&lt;&gt;0),(1/((1/C34)+(1/D34))),IF(AND(C34&lt;&gt;0,D34=0),(1/(1/C34)),IF(AND(C34=0,D34&lt;&gt;0),(1/(1/D34)),0))),0)</f>
        <v>5.5100971988264794E-4</v>
      </c>
      <c r="F34" s="70">
        <f>IFERROR(VLOOKUP("Am-241",$A$4:$L$32,6)/$B34,0)</f>
        <v>2.0387359836901141E-5</v>
      </c>
      <c r="G34" s="71">
        <f>IFERROR(VLOOKUP("Am-241",$A$4:$L$32,7)/$B34,0)</f>
        <v>2065.3842950215321</v>
      </c>
      <c r="H34" s="72">
        <f>IFERROR(IF(AND(F34&lt;&gt;0,G34&lt;&gt;0),(1/((1/F34)+(1/G34))),IF(AND(F34&lt;&gt;0,G34=0),(1/(1/F34)),IF(AND(F34=0,G34&lt;&gt;0),(1/(1/G34)),0))),0)</f>
        <v>2.0387359635657991E-5</v>
      </c>
      <c r="I34" s="70">
        <f>IFERROR(VLOOKUP("Am-241",$A$4:$K$32,9)/$B34,0)</f>
        <v>1.6070119293605533E-13</v>
      </c>
      <c r="J34" s="71">
        <f>IFERROR(VLOOKUP("Am-241",$A$4:$L$32,10)/$B34,0)</f>
        <v>1.6280171769990389E-5</v>
      </c>
      <c r="K34" s="72">
        <f>IFERROR(VLOOKUP("Am-241",$A$4:$L$32,11)/$B34,0)</f>
        <v>1.6070119134977765E-13</v>
      </c>
    </row>
    <row r="35" spans="1:11">
      <c r="A35" s="31" t="s">
        <v>176</v>
      </c>
      <c r="B35" s="32">
        <v>1</v>
      </c>
      <c r="C35" s="70">
        <f>IFERROR(VLOOKUP("Np-237",$A$4:$L$32,3)/$B35,0)</f>
        <v>4.2900042900042897E-3</v>
      </c>
      <c r="D35" s="71">
        <f>IFERROR(VLOOKUP("Np-237",$A$4:$L$32,4)/$B35,0)</f>
        <v>43618.423829493026</v>
      </c>
      <c r="E35" s="72">
        <f t="shared" ref="E35:E46" si="48">IFERROR(IF(AND(C35&lt;&gt;0,D35&lt;&gt;0),(1/((1/C35)+(1/D35))),IF(AND(C35&lt;&gt;0,D35=0),(1/(1/C35)),IF(AND(C35=0,D35&lt;&gt;0),(1/(1/D35)),0))),0)</f>
        <v>4.2900038680693964E-3</v>
      </c>
      <c r="F35" s="70">
        <f>IFERROR(VLOOKUP("Np-237",$A$4:$L$32,6)/$B35,0)</f>
        <v>1.5873015873015889E-4</v>
      </c>
      <c r="G35" s="71">
        <f>IFERROR(VLOOKUP("Np-237",$A$4:$L$32,7)/$B35,0)</f>
        <v>1613.8816816912436</v>
      </c>
      <c r="H35" s="72">
        <f t="shared" ref="H35" si="49">IFERROR(IF(AND(F35&lt;&gt;0,G35&lt;&gt;0),(1/((1/F35)+(1/G35))),IF(AND(F35&lt;&gt;0,G35=0),(1/(1/F35)),IF(AND(F35=0,G35&lt;&gt;0),(1/(1/G35)),0))),0)</f>
        <v>1.5873014311856785E-4</v>
      </c>
      <c r="I35" s="70">
        <f>IFERROR(VLOOKUP("Np-237",$A$4:$L$32,9)/$B35,0)</f>
        <v>6.1036396396396403E-9</v>
      </c>
      <c r="J35" s="71">
        <f>IFERROR(VLOOKUP("Np-237",$A$4:$L$32,10)/$B35,0)</f>
        <v>6.2058478898171378E-2</v>
      </c>
      <c r="K35" s="72">
        <f>IFERROR(VLOOKUP("Np-237",$A$4:$L$32,11)/$B35,0)</f>
        <v>6.1036390393282256E-9</v>
      </c>
    </row>
    <row r="36" spans="1:11">
      <c r="A36" s="31" t="s">
        <v>177</v>
      </c>
      <c r="B36" s="32">
        <v>1</v>
      </c>
      <c r="C36" s="70">
        <f>IFERROR(VLOOKUP("Pa-233",$A$4:$L$32,3)/$B36,0)</f>
        <v>11.853959222380276</v>
      </c>
      <c r="D36" s="71">
        <f>IFERROR(VLOOKUP("Pa-233",$A$4:$L$32,4)/$B36,0)</f>
        <v>4046.5851664901829</v>
      </c>
      <c r="E36" s="72">
        <f>IFERROR(IF(AND(C36&lt;&gt;0,D36&lt;&gt;0),(1/((1/C36)+(1/D36))),IF(AND(C36&lt;&gt;0,D36=0),(1/(1/C36)),IF(AND(C36=0,D36&lt;&gt;0),(1/(1/D36)),0))),0)</f>
        <v>11.819335973172077</v>
      </c>
      <c r="F36" s="70">
        <f>IFERROR(VLOOKUP("Pa-233",$A$4:$L$32,6)/$B36,0)</f>
        <v>0.43859649122807065</v>
      </c>
      <c r="G36" s="71">
        <f>IFERROR(VLOOKUP("Pa-233",$A$4:$L$32,7)/$B36,0)</f>
        <v>149.72365116013691</v>
      </c>
      <c r="H36" s="72">
        <f>IFERROR(IF(AND(F36&lt;&gt;0,G36&lt;&gt;0),(1/((1/F36)+(1/G36))),IF(AND(F36&lt;&gt;0,G36=0),(1/(1/F36)),IF(AND(F36=0,G36&lt;&gt;0),(1/(1/G36)),0))),0)</f>
        <v>0.43731543100736731</v>
      </c>
      <c r="I36" s="70">
        <f>IFERROR(VLOOKUP("Pa-233",$A$4:$L$32,9)/$B36,0)</f>
        <v>5.71369629182175E-13</v>
      </c>
      <c r="J36" s="71">
        <f>IFERROR(VLOOKUP("Pa-233",$A$4:$L$32,10)/$B36,0)</f>
        <v>1.9504840725842454E-10</v>
      </c>
      <c r="K36" s="72">
        <f>IFERROR(VLOOKUP("Pa-233",$A$4:$L$32,11)/$B36,0)</f>
        <v>5.6970076288273453E-13</v>
      </c>
    </row>
    <row r="37" spans="1:11">
      <c r="A37" s="31" t="s">
        <v>178</v>
      </c>
      <c r="B37" s="32">
        <v>1</v>
      </c>
      <c r="C37" s="70">
        <f>IFERROR(VLOOKUP("U-233",$A$4:$L$32,3)/$B37,0)</f>
        <v>5.2479664130149562E-3</v>
      </c>
      <c r="D37" s="71">
        <f>IFERROR(VLOOKUP("U-233",$A$4:$L$32,4)/$B37,0)</f>
        <v>3538853.2540909438</v>
      </c>
      <c r="E37" s="72">
        <f t="shared" si="48"/>
        <v>5.2479664052324489E-3</v>
      </c>
      <c r="F37" s="70">
        <f>IFERROR(VLOOKUP("U-233",$A$4:$L$32,6)/$B37,0)</f>
        <v>1.9417475728155357E-4</v>
      </c>
      <c r="G37" s="71">
        <f>IFERROR(VLOOKUP("U-233",$A$4:$L$32,7)/$B37,0)</f>
        <v>130937.57040136505</v>
      </c>
      <c r="H37" s="72">
        <f t="shared" ref="H37:H46" si="50">IFERROR(IF(AND(F37&lt;&gt;0,G37&lt;&gt;0),(1/((1/F37)+(1/G37))),IF(AND(F37&lt;&gt;0,G37=0),(1/(1/F37)),IF(AND(F37=0,G37&lt;&gt;0),(1/(1/G37)),0))),0)</f>
        <v>1.9417475699360081E-4</v>
      </c>
      <c r="I37" s="70">
        <f>IFERROR(VLOOKUP("U-233",$A$4:$L$32,9)/$B37,0)</f>
        <v>5.4506470742587243E-10</v>
      </c>
      <c r="J37" s="71">
        <f>IFERROR(VLOOKUP("U-233",$A$4:$L$32,10)/$B37,0)</f>
        <v>0.3675526597846539</v>
      </c>
      <c r="K37" s="72">
        <f>IFERROR(VLOOKUP("U-233",$A$4:$L$32,11)/$B37,0)</f>
        <v>5.4506470661756508E-10</v>
      </c>
    </row>
    <row r="38" spans="1:11">
      <c r="A38" s="31" t="s">
        <v>179</v>
      </c>
      <c r="B38" s="32">
        <v>1</v>
      </c>
      <c r="C38" s="70">
        <f>IFERROR(VLOOKUP("Th-229",$A$4:$L$32,3)/$B38,0)</f>
        <v>7.1594773581528553E-4</v>
      </c>
      <c r="D38" s="71">
        <f>IFERROR(VLOOKUP("Th-229",$A$4:$L$32,4)/$B38,0)</f>
        <v>11298.7483413747</v>
      </c>
      <c r="E38" s="72">
        <f t="shared" si="48"/>
        <v>7.1594769044909859E-4</v>
      </c>
      <c r="F38" s="70">
        <f>IFERROR(VLOOKUP("Th-229",$A$4:$L$32,6)/$B38,0)</f>
        <v>2.6490066225165592E-5</v>
      </c>
      <c r="G38" s="71">
        <f>IFERROR(VLOOKUP("Th-229",$A$4:$L$32,7)/$B38,0)</f>
        <v>418.05368863086431</v>
      </c>
      <c r="H38" s="72">
        <f t="shared" si="50"/>
        <v>2.649006454661668E-5</v>
      </c>
      <c r="I38" s="70">
        <f>IFERROR(VLOOKUP("Th-229",$A$4:$L$32,9)/$B38,0)</f>
        <v>3.3695421514229464E-12</v>
      </c>
      <c r="J38" s="71">
        <f>IFERROR(VLOOKUP("Th-229",$A$4:$L$32,10)/$B38,0)</f>
        <v>5.3176519583832624E-5</v>
      </c>
      <c r="K38" s="72">
        <f>IFERROR(VLOOKUP("Th-229",$A$4:$L$32,11)/$B38,0)</f>
        <v>3.3695419379111614E-12</v>
      </c>
    </row>
    <row r="39" spans="1:11">
      <c r="A39" s="31" t="s">
        <v>180</v>
      </c>
      <c r="B39" s="32">
        <v>1</v>
      </c>
      <c r="C39" s="70">
        <f>IFERROR(VLOOKUP("Ra-225",$A$4:$L$32,3)/$B39,0)</f>
        <v>6.4273548221229562E-3</v>
      </c>
      <c r="D39" s="71">
        <f>IFERROR(VLOOKUP("Ra-225",$A$4:$L$32,4)/$B39,0)</f>
        <v>151869.81576260729</v>
      </c>
      <c r="E39" s="72">
        <f t="shared" si="48"/>
        <v>6.4273545501078218E-3</v>
      </c>
      <c r="F39" s="70">
        <f>IFERROR(VLOOKUP("Ra-225",$A$4:$L$32,6)/$B39,0)</f>
        <v>2.3781212841854962E-4</v>
      </c>
      <c r="G39" s="71">
        <f>IFERROR(VLOOKUP("Ra-225",$A$4:$L$32,7)/$B39,0)</f>
        <v>5619.1831832164753</v>
      </c>
      <c r="H39" s="72">
        <f t="shared" si="50"/>
        <v>2.3781211835398967E-4</v>
      </c>
      <c r="I39" s="70">
        <f>IFERROR(VLOOKUP("Ra-225",$A$4:$L$32,9)/$B39,0)</f>
        <v>1.6529747867196694E-16</v>
      </c>
      <c r="J39" s="71">
        <f>IFERROR(VLOOKUP("Ra-225",$A$4:$L$32,10)/$B39,0)</f>
        <v>3.9057587960646266E-9</v>
      </c>
      <c r="K39" s="72">
        <f>IFERROR(VLOOKUP("Ra-225",$A$4:$L$32,11)/$B39,0)</f>
        <v>1.6529747167633387E-16</v>
      </c>
    </row>
    <row r="40" spans="1:11">
      <c r="A40" s="31" t="s">
        <v>181</v>
      </c>
      <c r="B40" s="32">
        <v>1</v>
      </c>
      <c r="C40" s="70">
        <f>IFERROR(VLOOKUP("Ac-225",$A$4:$L$32,3)/$B40,0)</f>
        <v>5.8882411823588301E-3</v>
      </c>
      <c r="D40" s="71">
        <f>IFERROR(VLOOKUP("Ac-225",$A$4:$L$32,4)/$B40,0)</f>
        <v>66275.343627851587</v>
      </c>
      <c r="E40" s="72">
        <f t="shared" si="48"/>
        <v>5.8882406592173538E-3</v>
      </c>
      <c r="F40" s="70">
        <f>IFERROR(VLOOKUP("Ac-225",$A$4:$L$32,6)/$B40,0)</f>
        <v>2.1786492374727693E-4</v>
      </c>
      <c r="G40" s="71">
        <f>IFERROR(VLOOKUP("Ac-225",$A$4:$L$32,7)/$B40,0)</f>
        <v>2452.1877142305111</v>
      </c>
      <c r="H40" s="72">
        <f t="shared" si="50"/>
        <v>2.1786490439104229E-4</v>
      </c>
      <c r="I40" s="70">
        <f>IFERROR(VLOOKUP("Ac-225",$A$4:$L$32,9)/$B40,0)</f>
        <v>1.0163265602427719E-16</v>
      </c>
      <c r="J40" s="71">
        <f>IFERROR(VLOOKUP("Ac-225",$A$4:$L$32,10)/$B40,0)</f>
        <v>1.1439305886451263E-9</v>
      </c>
      <c r="K40" s="72">
        <f>IFERROR(VLOOKUP("Ac-225",$A$4:$L$32,11)/$B40,0)</f>
        <v>1.0163264699471196E-16</v>
      </c>
    </row>
    <row r="41" spans="1:11">
      <c r="A41" s="31" t="s">
        <v>182</v>
      </c>
      <c r="B41" s="32">
        <v>1</v>
      </c>
      <c r="C41" s="70">
        <f>IFERROR(VLOOKUP("Fr-221",$A$4:$L$32,3)/$B41,0)</f>
        <v>0</v>
      </c>
      <c r="D41" s="71">
        <f>IFERROR(VLOOKUP("Fr-221",$A$4:$L$32,4)/$B41,0)</f>
        <v>30009.475594691201</v>
      </c>
      <c r="E41" s="72">
        <f t="shared" si="48"/>
        <v>30009.475594691201</v>
      </c>
      <c r="F41" s="70">
        <f>IFERROR(VLOOKUP("Fr-221",$A$4:$L$32,6)/$B41,0)</f>
        <v>0</v>
      </c>
      <c r="G41" s="71">
        <f>IFERROR(VLOOKUP("Fr-221",$A$4:$L$32,7)/$B41,0)</f>
        <v>1110.3505970035756</v>
      </c>
      <c r="H41" s="72">
        <f t="shared" si="50"/>
        <v>1110.3505970035756</v>
      </c>
      <c r="I41" s="70">
        <f>IFERROR(VLOOKUP("Fr-221",$A$4:$L$32,9)/$B41,0)</f>
        <v>0</v>
      </c>
      <c r="J41" s="71">
        <f>IFERROR(VLOOKUP("Fr-221",$A$4:$L$32,10)/$B41,0)</f>
        <v>1.7312087355436683E-13</v>
      </c>
      <c r="K41" s="72">
        <f>IFERROR(VLOOKUP("Fr-221",$A$4:$L$32,11)/$B41,0)</f>
        <v>1.7312087355436683E-13</v>
      </c>
    </row>
    <row r="42" spans="1:11">
      <c r="A42" s="31" t="s">
        <v>183</v>
      </c>
      <c r="B42" s="32">
        <v>1</v>
      </c>
      <c r="C42" s="70">
        <f>IFERROR(VLOOKUP("At-217",$A$4:$L$32,3)/$B42,0)</f>
        <v>0</v>
      </c>
      <c r="D42" s="71">
        <f>IFERROR(VLOOKUP("At-217",$A$4:$L$32,4)/$B42,0)</f>
        <v>3538853.2540909438</v>
      </c>
      <c r="E42" s="72">
        <f t="shared" si="48"/>
        <v>3538853.2540909438</v>
      </c>
      <c r="F42" s="70">
        <f>IFERROR(VLOOKUP("At-217",$A$4:$L$32,6)/$B42,0)</f>
        <v>0</v>
      </c>
      <c r="G42" s="71">
        <f>IFERROR(VLOOKUP("At-217",$A$4:$L$32,7)/$B42,0)</f>
        <v>130937.57040136505</v>
      </c>
      <c r="H42" s="72">
        <f t="shared" si="50"/>
        <v>130937.57040136505</v>
      </c>
      <c r="I42" s="70">
        <f>IFERROR(VLOOKUP("At-217",$A$4:$L$32,9)/$B42,0)</f>
        <v>0</v>
      </c>
      <c r="J42" s="71">
        <f>IFERROR(VLOOKUP("At-217",$A$4:$L$32,10)/$B42,0)</f>
        <v>2.2022987620845067E-15</v>
      </c>
      <c r="K42" s="72">
        <f>IFERROR(VLOOKUP("At-217",$A$4:$L$32,11)/$B42,0)</f>
        <v>2.2022987620845067E-15</v>
      </c>
    </row>
    <row r="43" spans="1:11">
      <c r="A43" s="31" t="s">
        <v>184</v>
      </c>
      <c r="B43" s="33">
        <v>0.99987999999999999</v>
      </c>
      <c r="C43" s="70">
        <f>IFERROR(VLOOKUP("Bi-213",$A$4:$L$32,3)/$B43,0)</f>
        <v>1.5228321498313335</v>
      </c>
      <c r="D43" s="71">
        <f>IFERROR(VLOOKUP("Bi-213",$A$4:$L$32,4)/$B43,0)</f>
        <v>6315.8832415721536</v>
      </c>
      <c r="E43" s="72">
        <f t="shared" si="48"/>
        <v>1.5224650659792749</v>
      </c>
      <c r="F43" s="70">
        <f>IFERROR(VLOOKUP("Bi-213",$A$4:$L$32,6)/$B43,0)</f>
        <v>5.6344789543759398E-2</v>
      </c>
      <c r="G43" s="71">
        <f>IFERROR(VLOOKUP("Bi-213",$A$4:$L$32,7)/$B43,0)</f>
        <v>233.68767993816994</v>
      </c>
      <c r="H43" s="72">
        <f t="shared" si="50"/>
        <v>5.6331207441233225E-2</v>
      </c>
      <c r="I43" s="70">
        <f>IFERROR(VLOOKUP("Bi-213",$A$4:$L$32,9)/$B43,0)</f>
        <v>7.8777810735783011E-17</v>
      </c>
      <c r="J43" s="71">
        <f>IFERROR(VLOOKUP("Bi-213",$A$4:$L$32,10)/$B43,0)</f>
        <v>3.2672770580065756E-13</v>
      </c>
      <c r="K43" s="72">
        <f>IFERROR(VLOOKUP("Bi-213",$A$4:$L$32,11)/$B43,0)</f>
        <v>7.8758821077451418E-17</v>
      </c>
    </row>
    <row r="44" spans="1:11">
      <c r="A44" s="31" t="s">
        <v>185</v>
      </c>
      <c r="B44" s="32">
        <v>0.97898250799999997</v>
      </c>
      <c r="C44" s="70">
        <f>IFERROR(VLOOKUP("Po-213",$A$4:$L$32,3)/$B44,0)</f>
        <v>0</v>
      </c>
      <c r="D44" s="71">
        <f>IFERROR(VLOOKUP("Po-213",$A$4:$L$32,4)/$B44,0)</f>
        <v>22407704.924703255</v>
      </c>
      <c r="E44" s="72">
        <f t="shared" si="48"/>
        <v>22407704.924703255</v>
      </c>
      <c r="F44" s="70">
        <f>IFERROR(VLOOKUP("Po-213",$A$4:$L$32,6)/$B44,0)</f>
        <v>0</v>
      </c>
      <c r="G44" s="71">
        <f>IFERROR(VLOOKUP("Po-213",$A$4:$L$32,7)/$B44,0)</f>
        <v>829085.08221402124</v>
      </c>
      <c r="H44" s="72">
        <f t="shared" si="50"/>
        <v>829085.08221402124</v>
      </c>
      <c r="I44" s="70">
        <f>IFERROR(VLOOKUP("Po-213",$A$4:$L$32,9)/$B44,0)</f>
        <v>0</v>
      </c>
      <c r="J44" s="71">
        <f>IFERROR(VLOOKUP("Po-213",$A$4:$L$32,10)/$B44,0)</f>
        <v>1.779826608060317E-18</v>
      </c>
      <c r="K44" s="72">
        <f>IFERROR(VLOOKUP("Po-213",$A$4:$L$32,11)/$B44,0)</f>
        <v>1.779826608060317E-18</v>
      </c>
    </row>
    <row r="45" spans="1:11">
      <c r="A45" s="31" t="s">
        <v>186</v>
      </c>
      <c r="B45" s="32">
        <v>2.0897492E-2</v>
      </c>
      <c r="C45" s="70">
        <f>IFERROR(VLOOKUP("Tl-209",$A$4:$L$32,3)/$B45,0)</f>
        <v>0</v>
      </c>
      <c r="D45" s="71">
        <f>IFERROR(VLOOKUP("Tl-209",$A$4:$L$32,4)/$B45,0)</f>
        <v>17598.436276826436</v>
      </c>
      <c r="E45" s="72">
        <f t="shared" si="48"/>
        <v>17598.436276826436</v>
      </c>
      <c r="F45" s="70">
        <f>IFERROR(VLOOKUP("Tl-209",$A$4:$L$32,6)/$B45,0)</f>
        <v>0</v>
      </c>
      <c r="G45" s="71">
        <f>IFERROR(VLOOKUP("Tl-209",$A$4:$L$32,7)/$B45,0)</f>
        <v>651.14214224257876</v>
      </c>
      <c r="H45" s="72">
        <f t="shared" si="50"/>
        <v>651.14214224257876</v>
      </c>
      <c r="I45" s="70">
        <f>IFERROR(VLOOKUP("Tl-209",$A$4:$L$32,9)/$B45,0)</f>
        <v>0</v>
      </c>
      <c r="J45" s="71">
        <f>IFERROR(VLOOKUP("Tl-209",$A$4:$L$32,10)/$B45,0)</f>
        <v>4.234262787058331E-14</v>
      </c>
      <c r="K45" s="72">
        <f>IFERROR(VLOOKUP("Tl-209",$A$4:$L$32,11)/$B45,0)</f>
        <v>4.234262787058331E-14</v>
      </c>
    </row>
    <row r="46" spans="1:11">
      <c r="A46" s="31" t="s">
        <v>187</v>
      </c>
      <c r="B46" s="32">
        <v>0.99987999999999999</v>
      </c>
      <c r="C46" s="70">
        <f>IFERROR(VLOOKUP("Pb-209",$A$4:$L$32,3)/$B46,0)</f>
        <v>774.50632262195347</v>
      </c>
      <c r="D46" s="71">
        <f>IFERROR(VLOOKUP("Pb-209",$A$4:$L$32,4)/$B46,0)</f>
        <v>375163.46454938594</v>
      </c>
      <c r="E46" s="72">
        <f t="shared" si="48"/>
        <v>772.91068693133673</v>
      </c>
      <c r="F46" s="70">
        <f>IFERROR(VLOOKUP("Pb-209",$A$4:$L$32,6)/$B46,0)</f>
        <v>28.656733937012305</v>
      </c>
      <c r="G46" s="71">
        <f>IFERROR(VLOOKUP("Pb-209",$A$4:$L$32,7)/$B46,0)</f>
        <v>13881.048188327293</v>
      </c>
      <c r="H46" s="72">
        <f t="shared" si="50"/>
        <v>28.597695416459491</v>
      </c>
      <c r="I46" s="70">
        <f>IFERROR(VLOOKUP("Pb-209",$A$4:$L$32,9)/$B46,0)</f>
        <v>1.6830973724825196E-13</v>
      </c>
      <c r="J46" s="71">
        <f>IFERROR(VLOOKUP("Pb-209",$A$4:$L$32,10)/$B46,0)</f>
        <v>8.1527629018817296E-11</v>
      </c>
      <c r="K46" s="72">
        <f>IFERROR(VLOOKUP("Pb-209",$A$4:$L$32,11)/$B46,0)</f>
        <v>1.6796298601332022E-13</v>
      </c>
    </row>
    <row r="47" spans="1:11">
      <c r="A47" s="30" t="s">
        <v>17</v>
      </c>
      <c r="B47" s="30" t="s">
        <v>59</v>
      </c>
      <c r="C47" s="76">
        <f>IFERROR(1/SUM(1/C48),0)</f>
        <v>1.2962602890660446</v>
      </c>
      <c r="D47" s="77">
        <f>IFERROR(1/SUM(1/D48,1/D49),0)</f>
        <v>1471.7839421226176</v>
      </c>
      <c r="E47" s="78">
        <f>IFERROR(1/SUM(1/E48,1/E49),".")</f>
        <v>1.2951196242643193</v>
      </c>
      <c r="F47" s="76">
        <f>IFERROR(1/SUM(1/F48),0)</f>
        <v>4.7961630695443701E-2</v>
      </c>
      <c r="G47" s="77">
        <f>IFERROR(1/SUM(1/G48,1/G49),0)</f>
        <v>54.456005858536919</v>
      </c>
      <c r="H47" s="78">
        <f>IFERROR(1/SUM(1/H48,1/H49),".")</f>
        <v>4.7919426097779862E-2</v>
      </c>
      <c r="I47" s="73">
        <f>IFERROR(C47*Isospec!$C$11*Isospec!$F$11*SSLcm_m,".")</f>
        <v>1.5000453120746649E-11</v>
      </c>
      <c r="J47" s="74">
        <f>IFERROR(D47*Isospec!$C$11*Isospec!$F$11*SSLcm_m,".")</f>
        <v>1.7031630309052211E-8</v>
      </c>
      <c r="K47" s="75">
        <f>IFERROR(E47*Isospec!$C$11*Isospec!$F$11*SSLcm_m,".")</f>
        <v>1.4987253234096494E-11</v>
      </c>
    </row>
    <row r="48" spans="1:11">
      <c r="A48" s="31" t="s">
        <v>188</v>
      </c>
      <c r="B48" s="32">
        <v>1</v>
      </c>
      <c r="C48" s="70">
        <f>IFERROR(VLOOKUP("Cs-137",$A$4:$L$32,3)/$B48,0)</f>
        <v>1.2962602890660446</v>
      </c>
      <c r="D48" s="71">
        <f>IFERROR(VLOOKUP("Cs-137",$A$4:$L$32,4)/$B48,0)</f>
        <v>399062.17546131922</v>
      </c>
      <c r="E48" s="72">
        <f>IFERROR(IF(AND(C48&lt;&gt;0,D48&lt;&gt;0),(1/((1/C48)+(1/D48))),IF(AND(C48&lt;&gt;0,D48=0),(1/(1/C48)),IF(AND(C48=0,D48&lt;&gt;0),(1/(1/D48)),0))),0)</f>
        <v>1.2962560784808721</v>
      </c>
      <c r="F48" s="70">
        <f>IFERROR(VLOOKUP("Cs-137",$A$4:$L$32,6)/$B48,0)</f>
        <v>4.7961630695443701E-2</v>
      </c>
      <c r="G48" s="71">
        <f>IFERROR(VLOOKUP("Cs-137",$A$4:$L$32,7)/$B48,0)</f>
        <v>14765.300492068825</v>
      </c>
      <c r="H48" s="72">
        <f>IFERROR(IF(AND(F48&lt;&gt;0,G48&lt;&gt;0),(1/((1/F48)+(1/G48))),IF(AND(F48&lt;&gt;0,G48=0),(1/(1/F48)),IF(AND(F48=0,G48&lt;&gt;0),(1/(1/G48)),0))),0)</f>
        <v>4.7961474903792309E-2</v>
      </c>
      <c r="I48" s="70">
        <f>IFERROR(VLOOKUP("Cs-137",$A$4:$L$32,9)/$B48,0)</f>
        <v>1.5000453120746649E-11</v>
      </c>
      <c r="J48" s="71">
        <f>IFERROR(VLOOKUP("Cs-137",$A$4:$L$32,10)/$B48,0)</f>
        <v>4.6179872250685752E-6</v>
      </c>
      <c r="K48" s="72">
        <f>IFERROR(VLOOKUP("Cs-137",$A$4:$L$32,11)/$B48,0)</f>
        <v>1.5000404395435828E-11</v>
      </c>
    </row>
    <row r="49" spans="1:11">
      <c r="A49" s="31" t="s">
        <v>189</v>
      </c>
      <c r="B49" s="32">
        <v>0.94399</v>
      </c>
      <c r="C49" s="70">
        <f>IFERROR(VLOOKUP("Ba-137m",$A$4:$L$32,3)/$B49,0)</f>
        <v>0</v>
      </c>
      <c r="D49" s="71">
        <f>IFERROR(VLOOKUP("Ba-137m",$A$4:$L$32,4)/$B49,0)</f>
        <v>1477.2321320650688</v>
      </c>
      <c r="E49" s="72">
        <f>IFERROR(IF(AND(C49&lt;&gt;0,D49&lt;&gt;0),(1/((1/C49)+(1/D49))),IF(AND(C49&lt;&gt;0,D49=0),(1/(1/C49)),IF(AND(C49=0,D49&lt;&gt;0),(1/(1/D49)),0))),0)</f>
        <v>1477.2321320650688</v>
      </c>
      <c r="F49" s="70">
        <f>IFERROR(VLOOKUP("Ba-137m",$A$4:$L$32,6)/$B49,0)</f>
        <v>0</v>
      </c>
      <c r="G49" s="71">
        <f>IFERROR(VLOOKUP("Ba-137m",$A$4:$L$32,7)/$B49,0)</f>
        <v>54.657588886407602</v>
      </c>
      <c r="H49" s="72">
        <f>IFERROR(IF(AND(F49&lt;&gt;0,G49&lt;&gt;0),(1/((1/F49)+(1/G49))),IF(AND(F49&lt;&gt;0,G49=0),(1/(1/F49)),IF(AND(F49=0,G49&lt;&gt;0),(1/(1/G49)),0))),0)</f>
        <v>54.657588886407595</v>
      </c>
      <c r="I49" s="70">
        <f>IFERROR(VLOOKUP("Ba-137m",$A$4:$L$32,9)/$B49,0)</f>
        <v>0</v>
      </c>
      <c r="J49" s="71">
        <f>IFERROR(VLOOKUP("Ba-137m",$A$4:$L$32,10)/$B49,0)</f>
        <v>2.7513931876619474E-15</v>
      </c>
      <c r="K49" s="72">
        <f>IFERROR(VLOOKUP("Ba-137m",$A$4:$L$32,11)/$B49,0)</f>
        <v>2.7513931876619474E-15</v>
      </c>
    </row>
    <row r="50" spans="1:11">
      <c r="A50" s="30" t="s">
        <v>27</v>
      </c>
      <c r="B50" s="30" t="s">
        <v>59</v>
      </c>
      <c r="C50" s="76">
        <f>IFERROR(1/SUM(1/C51,1/C56,1/C57,1/C60,1/C61,1/C62),0)</f>
        <v>2.5523098887475183E-3</v>
      </c>
      <c r="D50" s="77">
        <f>IFERROR(1/SUM(1/D51,1/D52,1/D53,1/D56,1/D54,1/D57,1/D55,1/D58,1/D59,1/D60,1/D61,1/D63,1/D62,1/D64),0)</f>
        <v>452.69642768360518</v>
      </c>
      <c r="E50" s="78">
        <f>IFERROR(1/SUM(1/E51,1/E52,1/E53,1/E56,1/E54,1/E57,1/E55,1/E58,1/E59,1/E60,1/E61,1/E63,1/E62,1/E64),0)</f>
        <v>2.5518340503649906E-3</v>
      </c>
      <c r="F50" s="76">
        <f>IFERROR(1/SUM(1/F51,1/F56,1/F57,1/F60,1/F61,1/F62),0)</f>
        <v>9.4435465883658284E-5</v>
      </c>
      <c r="G50" s="77">
        <f>IFERROR(1/SUM(1/G51,1/G52,1/G53,1/G56,1/G54,1/G57,1/G55,1/G58,1/G59,1/G60,1/G61,1/G63,1/G62,1/G64),0)</f>
        <v>16.749767824293407</v>
      </c>
      <c r="H50" s="78">
        <f>IFERROR(1/SUM(1/H51,1/H52,1/H53,1/H56,1/H54,1/H57,1/H55,1/H58,1/H59,1/H60,1/H61,1/H63,1/H62,1/H64),0)</f>
        <v>9.441785986350474E-5</v>
      </c>
      <c r="I50" s="73">
        <f>IFERROR(C50*Isospec!$C$24*Isospec!$F$24*SSLcm_m,".")</f>
        <v>2.5841627161590873E-12</v>
      </c>
      <c r="J50" s="74">
        <f>IFERROR(D50*Isospec!$C$24*Isospec!$F$24*SSLcm_m,".")</f>
        <v>4.583460791010966E-7</v>
      </c>
      <c r="K50" s="75">
        <f>IFERROR(E50*Isospec!$C$24*Isospec!$F$24*SSLcm_m,".")</f>
        <v>2.5836809393135457E-12</v>
      </c>
    </row>
    <row r="51" spans="1:11">
      <c r="A51" s="31" t="s">
        <v>190</v>
      </c>
      <c r="B51" s="32">
        <v>1</v>
      </c>
      <c r="C51" s="70">
        <f>IFERROR(VLOOKUP("Ra-226",$A$4:$L$32,3)/$B51,0)</f>
        <v>5.2479664130149562E-3</v>
      </c>
      <c r="D51" s="71">
        <f>IFERROR(VLOOKUP("Ra-226",$A$4:$L$32,4)/$B51,0)</f>
        <v>120616.86332271382</v>
      </c>
      <c r="E51" s="72">
        <f t="shared" ref="E51:E64" si="51">IFERROR(IF(AND(C51&lt;&gt;0,D51&lt;&gt;0),(1/((1/C51)+(1/D51))),IF(AND(C51&lt;&gt;0,D51=0),(1/(1/C51)),IF(AND(C51=0,D51&lt;&gt;0),(1/(1/D51)),0))),0)</f>
        <v>5.247966184679138E-3</v>
      </c>
      <c r="F51" s="70">
        <f>IFERROR(VLOOKUP("Ra-226",$A$4:$L$32,6)/$B51,0)</f>
        <v>1.9417475728155357E-4</v>
      </c>
      <c r="G51" s="71">
        <f>IFERROR(VLOOKUP("Ra-226",$A$4:$L$32,7)/$B51,0)</f>
        <v>4462.8239429404157</v>
      </c>
      <c r="H51" s="72">
        <f t="shared" ref="H51:H64" si="52">IFERROR(IF(AND(F51&lt;&gt;0,G51&lt;&gt;0),(1/((1/F51)+(1/G51))),IF(AND(F51&lt;&gt;0,G51=0),(1/(1/F51)),IF(AND(F51=0,G51&lt;&gt;0),(1/(1/G51)),0))),0)</f>
        <v>1.9417474883312827E-4</v>
      </c>
      <c r="I51" s="70">
        <f>IFERROR(VLOOKUP("Ra-226",$A$4:$L$32,9)/$B51,0)</f>
        <v>5.3134610338493834E-12</v>
      </c>
      <c r="J51" s="71">
        <f>IFERROR(VLOOKUP("Ra-226",$A$4:$L$32,10)/$B51,0)</f>
        <v>1.221221617769813E-4</v>
      </c>
      <c r="K51" s="72">
        <f>IFERROR(VLOOKUP("Ra-226",$A$4:$L$32,11)/$B51,0)</f>
        <v>5.3134608026639343E-12</v>
      </c>
    </row>
    <row r="52" spans="1:11">
      <c r="A52" s="31" t="s">
        <v>191</v>
      </c>
      <c r="B52" s="32">
        <v>1</v>
      </c>
      <c r="C52" s="70">
        <f>IFERROR(VLOOKUP("Rn-222",$A$4:$L$32,3)/$B52,0)</f>
        <v>30.534351145038173</v>
      </c>
      <c r="D52" s="71">
        <f>IFERROR(VLOOKUP("Rn-222",$A$4:$L$32,4)/$B52,0)</f>
        <v>2168314.7105990751</v>
      </c>
      <c r="E52" s="72">
        <f t="shared" si="51"/>
        <v>30.533921164341134</v>
      </c>
      <c r="F52" s="70">
        <f>IFERROR(VLOOKUP("Rn-222",$A$4:$L$32,6)/$B52,0)</f>
        <v>1.1297709923664134</v>
      </c>
      <c r="G52" s="71">
        <f>IFERROR(VLOOKUP("Rn-222",$A$4:$L$32,7)/$B52,0)</f>
        <v>80227.64429216586</v>
      </c>
      <c r="H52" s="72">
        <f t="shared" si="52"/>
        <v>1.1297550830806229</v>
      </c>
      <c r="I52" s="70">
        <f>IFERROR(VLOOKUP("Rn-222",$A$4:$L$32,9)/$B52,0)</f>
        <v>1.9882359928891807E-13</v>
      </c>
      <c r="J52" s="71">
        <f>IFERROR(VLOOKUP("Rn-222",$A$4:$L$32,10)/$B52,0)</f>
        <v>1.4118922426241649E-8</v>
      </c>
      <c r="K52" s="72">
        <f>IFERROR(VLOOKUP("Rn-222",$A$4:$L$32,11)/$B52,0)</f>
        <v>1.9882079948127176E-13</v>
      </c>
    </row>
    <row r="53" spans="1:11">
      <c r="A53" s="31" t="s">
        <v>192</v>
      </c>
      <c r="B53" s="32">
        <v>1</v>
      </c>
      <c r="C53" s="70">
        <f>IFERROR(VLOOKUP("Po-218",$A$4:$L$32,3)/$B53,0)</f>
        <v>26.246719160104991</v>
      </c>
      <c r="D53" s="71">
        <f>IFERROR(VLOOKUP("Po-218",$A$4:$L$32,4)/$B53,0)</f>
        <v>14317497898.230534</v>
      </c>
      <c r="E53" s="72">
        <f t="shared" si="51"/>
        <v>26.246719111989719</v>
      </c>
      <c r="F53" s="70">
        <f>IFERROR(VLOOKUP("Po-218",$A$4:$L$32,6)/$B53,0)</f>
        <v>0.97112860892388564</v>
      </c>
      <c r="G53" s="71">
        <f>IFERROR(VLOOKUP("Po-218",$A$4:$L$32,7)/$B53,0)</f>
        <v>529747422.23453027</v>
      </c>
      <c r="H53" s="72">
        <f t="shared" si="52"/>
        <v>0.9711286071436207</v>
      </c>
      <c r="I53" s="70">
        <f>IFERROR(VLOOKUP("Po-218",$A$4:$L$32,9)/$B53,0)</f>
        <v>9.4492183910800923E-17</v>
      </c>
      <c r="J53" s="71">
        <f>IFERROR(VLOOKUP("Po-218",$A$4:$L$32,10)/$B53,0)</f>
        <v>5.1545171657054192E-8</v>
      </c>
      <c r="K53" s="72">
        <f>IFERROR(VLOOKUP("Po-218",$A$4:$L$32,11)/$B53,0)</f>
        <v>9.4492183737578618E-17</v>
      </c>
    </row>
    <row r="54" spans="1:11">
      <c r="A54" s="31" t="s">
        <v>194</v>
      </c>
      <c r="B54" s="32">
        <v>2.0000000000000001E-4</v>
      </c>
      <c r="C54" s="70">
        <f>IFERROR(VLOOKUP("At-218",$A$4:$L$32,3)/$B54,0)</f>
        <v>0</v>
      </c>
      <c r="D54" s="71">
        <f>IFERROR(VLOOKUP("At-218",$A$4:$L$32,4)/$B54,0)</f>
        <v>191386961700.83673</v>
      </c>
      <c r="E54" s="72">
        <f>IFERROR(IF(AND(C54&lt;&gt;0,D54&lt;&gt;0),(1/((1/C54)+(1/D54))),IF(AND(C54&lt;&gt;0,D54=0),(1/(1/C54)),IF(AND(C54=0,D54&lt;&gt;0),(1/(1/D54)),0))),0)</f>
        <v>191386961700.83673</v>
      </c>
      <c r="F54" s="70">
        <f>IFERROR(VLOOKUP("At-218",$A$4:$L$32,6)/$B54,0)</f>
        <v>0</v>
      </c>
      <c r="G54" s="71">
        <f>IFERROR(VLOOKUP("At-218",$A$4:$L$32,7)/$B54,0)</f>
        <v>7081317582.9309664</v>
      </c>
      <c r="H54" s="72">
        <f>IFERROR(IF(AND(F54&lt;&gt;0,G54&lt;&gt;0),(1/((1/F54)+(1/G54))),IF(AND(F54&lt;&gt;0,G54=0),(1/(1/F54)),IF(AND(F54=0,G54&lt;&gt;0),(1/(1/G54)),0))),0)</f>
        <v>7081317582.9309654</v>
      </c>
      <c r="I54" s="70">
        <f>IFERROR(VLOOKUP("At-218",$A$4:$L$32,9)/$B54,0)</f>
        <v>0</v>
      </c>
      <c r="J54" s="71">
        <f>IFERROR(VLOOKUP("At-218",$A$4:$L$32,10)/$B54,0)</f>
        <v>5.5566305851498782E-9</v>
      </c>
      <c r="K54" s="72">
        <f>IFERROR(VLOOKUP("At-218",$A$4:$L$32,11)/$B54,0)</f>
        <v>5.5566305851498782E-9</v>
      </c>
    </row>
    <row r="55" spans="1:11">
      <c r="A55" s="31" t="s">
        <v>196</v>
      </c>
      <c r="B55" s="32">
        <v>1.9999999999999999E-7</v>
      </c>
      <c r="C55" s="70">
        <f>IFERROR(VLOOKUP("Rn-218",$A$4:$L$32,3)/$B55,0)</f>
        <v>0</v>
      </c>
      <c r="D55" s="71">
        <f>IFERROR(VLOOKUP("Rn-218",$A$4:$L$32,4)/$B55,0)</f>
        <v>5516447719612.3535</v>
      </c>
      <c r="E55" s="72">
        <f>IFERROR(IF(AND(C55&lt;&gt;0,D55&lt;&gt;0),(1/((1/C55)+(1/D55))),IF(AND(C55&lt;&gt;0,D55=0),(1/(1/C55)),IF(AND(C55=0,D55&lt;&gt;0),(1/(1/D55)),0))),0)</f>
        <v>5516447719612.3535</v>
      </c>
      <c r="F55" s="70">
        <f>IFERROR(VLOOKUP("Rn-218",$A$4:$L$32,6)/$B55,0)</f>
        <v>0</v>
      </c>
      <c r="G55" s="71">
        <f>IFERROR(VLOOKUP("Rn-218",$A$4:$L$32,7)/$B55,0)</f>
        <v>204108565625.65729</v>
      </c>
      <c r="H55" s="72">
        <f>IFERROR(IF(AND(F55&lt;&gt;0,G55&lt;&gt;0),(1/((1/F55)+(1/G55))),IF(AND(F55&lt;&gt;0,G55=0),(1/(1/F55)),IF(AND(F55=0,G55&lt;&gt;0),(1/(1/G55)),0))),0)</f>
        <v>204108565625.65729</v>
      </c>
      <c r="I55" s="70">
        <f>IFERROR(VLOOKUP("Rn-218",$A$4:$L$32,9)/$B55,0)</f>
        <v>0</v>
      </c>
      <c r="J55" s="71">
        <f>IFERROR(VLOOKUP("Rn-218",$A$4:$L$32,10)/$B55,0)</f>
        <v>3.7371064523656305E-9</v>
      </c>
      <c r="K55" s="72">
        <f>IFERROR(VLOOKUP("Rn-218",$A$4:$L$32,11)/$B55,0)</f>
        <v>3.7371064523656305E-9</v>
      </c>
    </row>
    <row r="56" spans="1:11">
      <c r="A56" s="31" t="s">
        <v>193</v>
      </c>
      <c r="B56" s="32">
        <v>0.99980000000000002</v>
      </c>
      <c r="C56" s="70">
        <f>IFERROR(VLOOKUP("Pb-214",$A$4:$L$32,3)/$B56,0)</f>
        <v>4.2927040343691063</v>
      </c>
      <c r="D56" s="71">
        <f>IFERROR(VLOOKUP("Pb-214",$A$4:$L$32,4)/$B56,0)</f>
        <v>3380.1214741474423</v>
      </c>
      <c r="E56" s="72">
        <f t="shared" si="51"/>
        <v>4.2872592788053572</v>
      </c>
      <c r="F56" s="70">
        <f>IFERROR(VLOOKUP("Pb-214",$A$4:$L$32,6)/$B56,0)</f>
        <v>0.15883004927165709</v>
      </c>
      <c r="G56" s="71">
        <f>IFERROR(VLOOKUP("Pb-214",$A$4:$L$32,7)/$B56,0)</f>
        <v>125.0644945434555</v>
      </c>
      <c r="H56" s="72">
        <f t="shared" si="52"/>
        <v>0.15862859331579834</v>
      </c>
      <c r="I56" s="70">
        <f>IFERROR(VLOOKUP("Pb-214",$A$4:$L$32,9)/$B56,0)</f>
        <v>1.3115419577275065E-16</v>
      </c>
      <c r="J56" s="71">
        <f>IFERROR(VLOOKUP("Pb-214",$A$4:$L$32,10)/$B56,0)</f>
        <v>1.0327222888105912E-13</v>
      </c>
      <c r="K56" s="72">
        <f>IFERROR(VLOOKUP("Pb-214",$A$4:$L$32,11)/$B56,0)</f>
        <v>1.3098784315877461E-16</v>
      </c>
    </row>
    <row r="57" spans="1:11">
      <c r="A57" s="31" t="s">
        <v>195</v>
      </c>
      <c r="B57" s="32">
        <v>0.99999979999999999</v>
      </c>
      <c r="C57" s="70">
        <f>IFERROR(VLOOKUP("Bi-214",$A$4:$L$32,3)/$B57,0)</f>
        <v>5.4644819672133336</v>
      </c>
      <c r="D57" s="71">
        <f>IFERROR(VLOOKUP("Bi-214",$A$4:$L$32,4)/$B57,0)</f>
        <v>527.59285507362029</v>
      </c>
      <c r="E57" s="72">
        <f t="shared" si="51"/>
        <v>5.4084644225796463</v>
      </c>
      <c r="F57" s="70">
        <f>IFERROR(VLOOKUP("Bi-214",$A$4:$L$32,6)/$B57,0)</f>
        <v>0.20218583278689353</v>
      </c>
      <c r="G57" s="71">
        <f>IFERROR(VLOOKUP("Bi-214",$A$4:$L$32,7)/$B57,0)</f>
        <v>19.520935637723973</v>
      </c>
      <c r="H57" s="72">
        <f t="shared" si="52"/>
        <v>0.20011318363544708</v>
      </c>
      <c r="I57" s="70">
        <f>IFERROR(VLOOKUP("Bi-214",$A$4:$L$32,9)/$B57,0)</f>
        <v>1.2397054820321405E-16</v>
      </c>
      <c r="J57" s="71">
        <f>IFERROR(VLOOKUP("Bi-214",$A$4:$L$32,10)/$B57,0)</f>
        <v>1.1969291117439629E-14</v>
      </c>
      <c r="K57" s="72">
        <f>IFERROR(VLOOKUP("Bi-214",$A$4:$L$32,11)/$B57,0)</f>
        <v>1.2269970025112946E-16</v>
      </c>
    </row>
    <row r="58" spans="1:11">
      <c r="A58" s="31" t="s">
        <v>197</v>
      </c>
      <c r="B58" s="32">
        <v>0.99979000004200003</v>
      </c>
      <c r="C58" s="70">
        <f>IFERROR(VLOOKUP("Po-214",$A$4:$L$32,3)/$B58,0)</f>
        <v>0</v>
      </c>
      <c r="D58" s="71">
        <f>IFERROR(VLOOKUP("Po-214",$A$4:$L$32,4)/$B58,0)</f>
        <v>9873611.482566122</v>
      </c>
      <c r="E58" s="72">
        <f t="shared" si="51"/>
        <v>9873611.482566122</v>
      </c>
      <c r="F58" s="70">
        <f>IFERROR(VLOOKUP("Po-214",$A$4:$L$32,6)/$B58,0)</f>
        <v>0</v>
      </c>
      <c r="G58" s="71">
        <f>IFERROR(VLOOKUP("Po-214",$A$4:$L$32,7)/$B58,0)</f>
        <v>365323.62485494686</v>
      </c>
      <c r="H58" s="72">
        <f t="shared" si="52"/>
        <v>365323.62485494686</v>
      </c>
      <c r="I58" s="70">
        <f>IFERROR(VLOOKUP("Po-214",$A$4:$L$32,9)/$B58,0)</f>
        <v>0</v>
      </c>
      <c r="J58" s="71">
        <f>IFERROR(VLOOKUP("Po-214",$A$4:$L$32,10)/$B58,0)</f>
        <v>3.0823276016555544E-17</v>
      </c>
      <c r="K58" s="72">
        <f>IFERROR(VLOOKUP("Po-214",$A$4:$L$32,11)/$B58,0)</f>
        <v>3.0823276016555544E-17</v>
      </c>
    </row>
    <row r="59" spans="1:11">
      <c r="A59" s="31" t="s">
        <v>198</v>
      </c>
      <c r="B59" s="32">
        <v>2.0999995799999999E-4</v>
      </c>
      <c r="C59" s="70">
        <f>IFERROR(VLOOKUP("Tl-210",$A$4:$L$32,3)/$B59,0)</f>
        <v>0</v>
      </c>
      <c r="D59" s="71">
        <f>IFERROR(VLOOKUP("Tl-210",$A$4:$L$32,4)/$B59,0)</f>
        <v>1353241.4139875325</v>
      </c>
      <c r="E59" s="72">
        <f t="shared" si="51"/>
        <v>1353241.4139875325</v>
      </c>
      <c r="F59" s="70">
        <f>IFERROR(VLOOKUP("Tl-210",$A$4:$L$32,6)/$B59,0)</f>
        <v>0</v>
      </c>
      <c r="G59" s="71">
        <f>IFERROR(VLOOKUP("Tl-210",$A$4:$L$32,7)/$B59,0)</f>
        <v>50069.932317538754</v>
      </c>
      <c r="H59" s="72">
        <f t="shared" si="52"/>
        <v>50069.932317538754</v>
      </c>
      <c r="I59" s="70">
        <f>IFERROR(VLOOKUP("Tl-210",$A$4:$L$32,9)/$B59,0)</f>
        <v>0</v>
      </c>
      <c r="J59" s="71">
        <f>IFERROR(VLOOKUP("Tl-210",$A$4:$L$32,10)/$B59,0)</f>
        <v>1.9680702755937104E-12</v>
      </c>
      <c r="K59" s="72">
        <f>IFERROR(VLOOKUP("Tl-210",$A$4:$L$32,11)/$B59,0)</f>
        <v>1.9680702755937104E-12</v>
      </c>
    </row>
    <row r="60" spans="1:11">
      <c r="A60" s="31" t="s">
        <v>199</v>
      </c>
      <c r="B60" s="32">
        <v>1</v>
      </c>
      <c r="C60" s="70">
        <f>IFERROR(VLOOKUP("Pb-210",$A$4:$L$32,3)/$B60,0)</f>
        <v>8.9641880686656805E-3</v>
      </c>
      <c r="D60" s="71">
        <f>IFERROR(VLOOKUP("Pb-210",$A$4:$L$32,4)/$B60,0)</f>
        <v>796429.81939201686</v>
      </c>
      <c r="E60" s="72">
        <f t="shared" si="51"/>
        <v>8.9641879677695747E-3</v>
      </c>
      <c r="F60" s="70">
        <f>IFERROR(VLOOKUP("Pb-210",$A$4:$L$32,6)/$B60,0)</f>
        <v>3.316749585406305E-4</v>
      </c>
      <c r="G60" s="71">
        <f>IFERROR(VLOOKUP("Pb-210",$A$4:$L$32,7)/$B60,0)</f>
        <v>29467.903317504653</v>
      </c>
      <c r="H60" s="72">
        <f t="shared" si="52"/>
        <v>3.3167495480747458E-4</v>
      </c>
      <c r="I60" s="70">
        <f>IFERROR(VLOOKUP("Pb-210",$A$4:$L$32,9)/$B60,0)</f>
        <v>1.1701492537313433E-13</v>
      </c>
      <c r="J60" s="71">
        <f>IFERROR(VLOOKUP("Pb-210",$A$4:$L$32,10)/$B60,0)</f>
        <v>1.0396276290415632E-5</v>
      </c>
      <c r="K60" s="72">
        <f>IFERROR(VLOOKUP("Pb-210",$A$4:$L$32,11)/$B60,0)</f>
        <v>1.1701492405607692E-13</v>
      </c>
    </row>
    <row r="61" spans="1:11">
      <c r="A61" s="31" t="s">
        <v>200</v>
      </c>
      <c r="B61" s="32">
        <v>1</v>
      </c>
      <c r="C61" s="70">
        <f>IFERROR(VLOOKUP("Bi-210",$A$4:$L$32,3)/$B61,0)</f>
        <v>0.37023324694557569</v>
      </c>
      <c r="D61" s="71">
        <f>IFERROR(VLOOKUP("Bi-210",$A$4:$L$32,4)/$B61,0)</f>
        <v>145394.7460983101</v>
      </c>
      <c r="E61" s="72">
        <f t="shared" si="51"/>
        <v>0.37023230418586961</v>
      </c>
      <c r="F61" s="70">
        <f>IFERROR(VLOOKUP("Bi-210",$A$4:$L$32,6)/$B61,0)</f>
        <v>1.3698630136986314E-2</v>
      </c>
      <c r="G61" s="71">
        <f>IFERROR(VLOOKUP("Bi-210",$A$4:$L$32,7)/$B61,0)</f>
        <v>5379.6056056374791</v>
      </c>
      <c r="H61" s="72">
        <f t="shared" si="52"/>
        <v>1.3698595254877188E-2</v>
      </c>
      <c r="I61" s="70">
        <f>IFERROR(VLOOKUP("Bi-210",$A$4:$L$32,9)/$B61,0)</f>
        <v>2.9899063259167337E-15</v>
      </c>
      <c r="J61" s="71">
        <f>IFERROR(VLOOKUP("Bi-210",$A$4:$L$32,10)/$B61,0)</f>
        <v>1.1741697286799799E-9</v>
      </c>
      <c r="K61" s="72">
        <f>IFERROR(VLOOKUP("Bi-210",$A$4:$L$32,11)/$B61,0)</f>
        <v>2.9898987124373054E-15</v>
      </c>
    </row>
    <row r="62" spans="1:11">
      <c r="A62" s="31" t="s">
        <v>202</v>
      </c>
      <c r="B62" s="32">
        <v>1</v>
      </c>
      <c r="C62" s="70">
        <f>IFERROR(VLOOKUP("Po-210",$A$4:$L$32,3)/$B62,0)</f>
        <v>1.1550011550011551E-2</v>
      </c>
      <c r="D62" s="71">
        <f>IFERROR(VLOOKUP("Po-210",$A$4:$L$32,4)/$B62,0)</f>
        <v>84296279.760368556</v>
      </c>
      <c r="E62" s="72">
        <f>IFERROR(IF(AND(C62&lt;&gt;0,D62&lt;&gt;0),(1/((1/C62)+(1/D62))),IF(AND(C62&lt;&gt;0,D62=0),(1/(1/C62)),IF(AND(C62=0,D62&lt;&gt;0),(1/(1/D62)),0))),0)</f>
        <v>1.1550011548429004E-2</v>
      </c>
      <c r="F62" s="70">
        <f>IFERROR(VLOOKUP("Po-210",$A$4:$L$32,6)/$B62,0)</f>
        <v>4.2735042735042784E-4</v>
      </c>
      <c r="G62" s="71">
        <f>IFERROR(VLOOKUP("Po-210",$A$4:$L$32,7)/$B62,0)</f>
        <v>3118962.3511336399</v>
      </c>
      <c r="H62" s="72">
        <f>IFERROR(IF(AND(F62&lt;&gt;0,G62&lt;&gt;0),(1/((1/F62)+(1/G62))),IF(AND(F62&lt;&gt;0,G62=0),(1/(1/F62)),IF(AND(F62=0,G62&lt;&gt;0),(1/(1/G62)),0))),0)</f>
        <v>4.273504272918736E-4</v>
      </c>
      <c r="I62" s="70">
        <f>IFERROR(VLOOKUP("Po-210",$A$4:$L$32,9)/$B62,0)</f>
        <v>2.5747060442950628E-15</v>
      </c>
      <c r="J62" s="71">
        <f>IFERROR(VLOOKUP("Po-210",$A$4:$L$32,10)/$B62,0)</f>
        <v>1.8791162248698485E-5</v>
      </c>
      <c r="K62" s="72">
        <f>IFERROR(VLOOKUP("Po-210",$A$4:$L$32,11)/$B62,0)</f>
        <v>2.5747060439422849E-15</v>
      </c>
    </row>
    <row r="63" spans="1:11">
      <c r="A63" s="31" t="s">
        <v>201</v>
      </c>
      <c r="B63" s="34">
        <v>1.9000000000000001E-8</v>
      </c>
      <c r="C63" s="70">
        <f>IFERROR(VLOOKUP("Hg-206",$A$4:$L$32,3)/$B63,0)</f>
        <v>0</v>
      </c>
      <c r="D63" s="71">
        <f>IFERROR(VLOOKUP("Hg-206",$A$4:$L$32,4)/$B63,0)</f>
        <v>355091295847.82281</v>
      </c>
      <c r="E63" s="72">
        <f t="shared" si="51"/>
        <v>355091295847.82281</v>
      </c>
      <c r="F63" s="70">
        <f>IFERROR(VLOOKUP("Hg-206",$A$4:$L$32,6)/$B63,0)</f>
        <v>0</v>
      </c>
      <c r="G63" s="71">
        <f>IFERROR(VLOOKUP("Hg-206",$A$4:$L$32,7)/$B63,0)</f>
        <v>13138377946.369457</v>
      </c>
      <c r="H63" s="72">
        <f t="shared" si="52"/>
        <v>13138377946.369457</v>
      </c>
      <c r="I63" s="70">
        <f>IFERROR(VLOOKUP("Hg-206",$A$4:$L$32,9)/$B63,0)</f>
        <v>0</v>
      </c>
      <c r="J63" s="71">
        <f>IFERROR(VLOOKUP("Hg-206",$A$4:$L$32,10)/$B63,0)</f>
        <v>3.175905202581735E-6</v>
      </c>
      <c r="K63" s="72">
        <f>IFERROR(VLOOKUP("Hg-206",$A$4:$L$32,11)/$B63,0)</f>
        <v>3.175905202581735E-6</v>
      </c>
    </row>
    <row r="64" spans="1:11">
      <c r="A64" s="31" t="s">
        <v>203</v>
      </c>
      <c r="B64" s="32">
        <v>1.339E-6</v>
      </c>
      <c r="C64" s="70">
        <f>IFERROR(VLOOKUP("Tl-206",$A$4:$L$32,3)/$B64,0)</f>
        <v>0</v>
      </c>
      <c r="D64" s="71">
        <f>IFERROR(VLOOKUP("Tl-206",$A$4:$L$32,4)/$B64,0)</f>
        <v>70566298194.946045</v>
      </c>
      <c r="E64" s="72">
        <f t="shared" si="51"/>
        <v>70566298194.946045</v>
      </c>
      <c r="F64" s="70">
        <f>IFERROR(VLOOKUP("Tl-206",$A$4:$L$32,6)/$B64,0)</f>
        <v>0</v>
      </c>
      <c r="G64" s="71">
        <f>IFERROR(VLOOKUP("Tl-206",$A$4:$L$32,7)/$B64,0)</f>
        <v>2610953033.2130065</v>
      </c>
      <c r="H64" s="72">
        <f t="shared" si="52"/>
        <v>2610953033.2130065</v>
      </c>
      <c r="I64" s="70">
        <f>IFERROR(VLOOKUP("Tl-206",$A$4:$L$32,9)/$B64,0)</f>
        <v>0</v>
      </c>
      <c r="J64" s="71">
        <f>IFERROR(VLOOKUP("Tl-206",$A$4:$L$32,10)/$B64,0)</f>
        <v>3.252494127761587E-7</v>
      </c>
      <c r="K64" s="72">
        <f>IFERROR(VLOOKUP("Tl-206",$A$4:$L$32,11)/$B64,0)</f>
        <v>3.252494127761587E-7</v>
      </c>
    </row>
    <row r="65" spans="1:11">
      <c r="A65" s="30" t="s">
        <v>31</v>
      </c>
      <c r="B65" s="30" t="s">
        <v>59</v>
      </c>
      <c r="C65" s="76">
        <f>IFERROR(1/SUM(1/C66,1/C67,1/C70,1/C71,1/C74,1/C75,1/C76),0)</f>
        <v>4.9671472048545776E-3</v>
      </c>
      <c r="D65" s="77">
        <f>IFERROR(1/SUM(1/D66,1/D67,1/D68,1/D69,1/D70,1/D71,1/D72,1/D73,1/D74,1/D75,1/D76,1/D77),0)</f>
        <v>454.40188125217031</v>
      </c>
      <c r="E65" s="78">
        <f>IFERROR(1/SUM(1/E66,1/E67,1/E68,1/E69,1/E70,1/E71,1/E72,1/E73,1/E74,1/E75,1/E76,1/E77),0)</f>
        <v>4.9670929086848741E-3</v>
      </c>
      <c r="F65" s="76">
        <f>IFERROR(1/SUM(1/F66,1/F67,1/F70,1/F71,1/F74,1/F75,1/F76),0)</f>
        <v>1.8378444657961954E-4</v>
      </c>
      <c r="G65" s="77">
        <f>IFERROR(1/SUM(1/G66,1/G67,1/G68,1/G69,1/G70,1/G71,1/G72,1/G73,1/G74,1/G75,1/G76,1/G77),0)</f>
        <v>16.81286960633032</v>
      </c>
      <c r="H65" s="78">
        <f>IFERROR(1/SUM(1/H66,1/H67,1/H68,1/H69,1/H70,1/H71,1/H72,1/H73,1/H74,1/H75,1/H76,1/H77),0)</f>
        <v>1.8378243762134052E-4</v>
      </c>
      <c r="I65" s="73">
        <f>IFERROR(C65*Isospec!$C$26*Isospec!$F$26*SSLcm_m,".")</f>
        <v>3.2343444299046729E-17</v>
      </c>
      <c r="J65" s="74">
        <f>IFERROR(D65*Isospec!$C$26*Isospec!$F$26*SSLcm_m,".")</f>
        <v>2.958825524900444E-12</v>
      </c>
      <c r="K65" s="75">
        <f>IFERROR(E65*Isospec!$C$26*Isospec!$F$26*SSLcm_m,".")</f>
        <v>3.2343090751010395E-17</v>
      </c>
    </row>
    <row r="66" spans="1:11">
      <c r="A66" s="31" t="s">
        <v>191</v>
      </c>
      <c r="B66" s="32">
        <v>1</v>
      </c>
      <c r="C66" s="70">
        <f>IFERROR(VLOOKUP("Rn-222",$A$4:$L$32,3)/$B66,0)</f>
        <v>30.534351145038173</v>
      </c>
      <c r="D66" s="71">
        <f>IFERROR(VLOOKUP("Rn-222",$A$4:$L$32,4)/$B66,0)</f>
        <v>2168314.7105990751</v>
      </c>
      <c r="E66" s="72">
        <f t="shared" ref="E66:E67" si="53">IFERROR(IF(AND(C66&lt;&gt;0,D66&lt;&gt;0),(1/((1/C66)+(1/D66))),IF(AND(C66&lt;&gt;0,D66=0),(1/(1/C66)),IF(AND(C66=0,D66&lt;&gt;0),(1/(1/D66)),0))),0)</f>
        <v>30.533921164341134</v>
      </c>
      <c r="F66" s="70">
        <f>IFERROR(VLOOKUP("Rn-222",$A$4:$L$32,6)/$B66,0)</f>
        <v>1.1297709923664134</v>
      </c>
      <c r="G66" s="71">
        <f>IFERROR(VLOOKUP("Rn-222",$A$4:$L$32,7)/$B66,0)</f>
        <v>80227.64429216586</v>
      </c>
      <c r="H66" s="72">
        <f t="shared" ref="H66:H67" si="54">IFERROR(IF(AND(F66&lt;&gt;0,G66&lt;&gt;0),(1/((1/F66)+(1/G66))),IF(AND(F66&lt;&gt;0,G66=0),(1/(1/F66)),IF(AND(F66=0,G66&lt;&gt;0),(1/(1/G66)),0))),0)</f>
        <v>1.1297550830806229</v>
      </c>
      <c r="I66" s="70">
        <f>IFERROR(VLOOKUP("Rn-222",$A$4:$L$32,9)/$B66,0)</f>
        <v>1.9882359928891807E-13</v>
      </c>
      <c r="J66" s="71">
        <f>IFERROR(VLOOKUP("Rn-222",$A$4:$L$32,10)/$B66,0)</f>
        <v>1.4118922426241649E-8</v>
      </c>
      <c r="K66" s="72">
        <f>IFERROR(VLOOKUP("Rn-222",$A$4:$L$32,11)/$B66,0)</f>
        <v>1.9882079948127176E-13</v>
      </c>
    </row>
    <row r="67" spans="1:11">
      <c r="A67" s="31" t="s">
        <v>192</v>
      </c>
      <c r="B67" s="32">
        <v>1</v>
      </c>
      <c r="C67" s="70">
        <f>IFERROR(VLOOKUP("Po-218",$A$4:$L$32,3)/$B67,0)</f>
        <v>26.246719160104991</v>
      </c>
      <c r="D67" s="71">
        <f>IFERROR(VLOOKUP("Po-218",$A$4:$L$32,4)/$B67,0)</f>
        <v>14317497898.230534</v>
      </c>
      <c r="E67" s="72">
        <f t="shared" si="53"/>
        <v>26.246719111989719</v>
      </c>
      <c r="F67" s="70">
        <f>IFERROR(VLOOKUP("Po-218",$A$4:$L$32,6)/$B67,0)</f>
        <v>0.97112860892388564</v>
      </c>
      <c r="G67" s="71">
        <f>IFERROR(VLOOKUP("Po-218",$A$4:$L$32,7)/$B67,0)</f>
        <v>529747422.23453027</v>
      </c>
      <c r="H67" s="72">
        <f t="shared" si="54"/>
        <v>0.9711286071436207</v>
      </c>
      <c r="I67" s="70">
        <f>IFERROR(VLOOKUP("Po-218",$A$4:$L$32,9)/$B67,0)</f>
        <v>9.4492183910800923E-17</v>
      </c>
      <c r="J67" s="71">
        <f>IFERROR(VLOOKUP("Po-218",$A$4:$L$32,10)/$B67,0)</f>
        <v>5.1545171657054192E-8</v>
      </c>
      <c r="K67" s="72">
        <f>IFERROR(VLOOKUP("Po-218",$A$4:$L$32,11)/$B67,0)</f>
        <v>9.4492183737578618E-17</v>
      </c>
    </row>
    <row r="68" spans="1:11">
      <c r="A68" s="31" t="s">
        <v>194</v>
      </c>
      <c r="B68" s="32">
        <v>2.0000000000000001E-4</v>
      </c>
      <c r="C68" s="70">
        <f>IFERROR(VLOOKUP("At-218",$A$4:$L$32,3)/$B68,0)</f>
        <v>0</v>
      </c>
      <c r="D68" s="71">
        <f>IFERROR(VLOOKUP("At-218",$A$4:$L$32,4)/$B68,0)</f>
        <v>191386961700.83673</v>
      </c>
      <c r="E68" s="72">
        <f>IFERROR(IF(AND(C68&lt;&gt;0,D68&lt;&gt;0),(1/((1/C68)+(1/D68))),IF(AND(C68&lt;&gt;0,D68=0),(1/(1/C68)),IF(AND(C68=0,D68&lt;&gt;0),(1/(1/D68)),0))),0)</f>
        <v>191386961700.83673</v>
      </c>
      <c r="F68" s="70">
        <f>IFERROR(VLOOKUP("At-218",$A$4:$L$32,6)/$B68,0)</f>
        <v>0</v>
      </c>
      <c r="G68" s="71">
        <f>IFERROR(VLOOKUP("At-218",$A$4:$L$32,7)/$B68,0)</f>
        <v>7081317582.9309664</v>
      </c>
      <c r="H68" s="72">
        <f>IFERROR(IF(AND(F68&lt;&gt;0,G68&lt;&gt;0),(1/((1/F68)+(1/G68))),IF(AND(F68&lt;&gt;0,G68=0),(1/(1/F68)),IF(AND(F68=0,G68&lt;&gt;0),(1/(1/G68)),0))),0)</f>
        <v>7081317582.9309654</v>
      </c>
      <c r="I68" s="70">
        <f>IFERROR(VLOOKUP("At-218",$A$4:$L$32,9)/$B68,0)</f>
        <v>0</v>
      </c>
      <c r="J68" s="71">
        <f>IFERROR(VLOOKUP("At-218",$A$4:$L$32,10)/$B68,0)</f>
        <v>5.5566305851498782E-9</v>
      </c>
      <c r="K68" s="72">
        <f>IFERROR(VLOOKUP("At-218",$A$4:$L$32,11)/$B68,0)</f>
        <v>5.5566305851498782E-9</v>
      </c>
    </row>
    <row r="69" spans="1:11">
      <c r="A69" s="31" t="s">
        <v>196</v>
      </c>
      <c r="B69" s="32">
        <v>1.9999999999999999E-7</v>
      </c>
      <c r="C69" s="70">
        <f>IFERROR(VLOOKUP("Rn-218",$A$4:$L$32,3)/$B69,0)</f>
        <v>0</v>
      </c>
      <c r="D69" s="71">
        <f>IFERROR(VLOOKUP("Rn-218",$A$4:$L$32,4)/$B69,0)</f>
        <v>5516447719612.3535</v>
      </c>
      <c r="E69" s="72">
        <f>IFERROR(IF(AND(C69&lt;&gt;0,D69&lt;&gt;0),(1/((1/C69)+(1/D69))),IF(AND(C69&lt;&gt;0,D69=0),(1/(1/C69)),IF(AND(C69=0,D69&lt;&gt;0),(1/(1/D69)),0))),0)</f>
        <v>5516447719612.3535</v>
      </c>
      <c r="F69" s="70">
        <f>IFERROR(VLOOKUP("Rn-218",$A$4:$L$32,6)/$B69,0)</f>
        <v>0</v>
      </c>
      <c r="G69" s="71">
        <f>IFERROR(VLOOKUP("Rn-218",$A$4:$L$32,7)/$B69,0)</f>
        <v>204108565625.65729</v>
      </c>
      <c r="H69" s="72">
        <f>IFERROR(IF(AND(F69&lt;&gt;0,G69&lt;&gt;0),(1/((1/F69)+(1/G69))),IF(AND(F69&lt;&gt;0,G69=0),(1/(1/F69)),IF(AND(F69=0,G69&lt;&gt;0),(1/(1/G69)),0))),0)</f>
        <v>204108565625.65729</v>
      </c>
      <c r="I69" s="70">
        <f>IFERROR(VLOOKUP("Rn-218",$A$4:$L$32,9)/$B69,0)</f>
        <v>0</v>
      </c>
      <c r="J69" s="71">
        <f>IFERROR(VLOOKUP("Rn-218",$A$4:$L$32,10)/$B69,0)</f>
        <v>3.7371064523656305E-9</v>
      </c>
      <c r="K69" s="72">
        <f>IFERROR(VLOOKUP("Rn-218",$A$4:$L$32,11)/$B69,0)</f>
        <v>3.7371064523656305E-9</v>
      </c>
    </row>
    <row r="70" spans="1:11">
      <c r="A70" s="31" t="s">
        <v>193</v>
      </c>
      <c r="B70" s="32">
        <v>0.99980000000000002</v>
      </c>
      <c r="C70" s="70">
        <f>IFERROR(VLOOKUP("Pb-214",$A$4:$L$32,3)/$B70,0)</f>
        <v>4.2927040343691063</v>
      </c>
      <c r="D70" s="71">
        <f>IFERROR(VLOOKUP("Pb-214",$A$4:$L$32,4)/$B70,0)</f>
        <v>3380.1214741474423</v>
      </c>
      <c r="E70" s="72">
        <f t="shared" ref="E70:E75" si="55">IFERROR(IF(AND(C70&lt;&gt;0,D70&lt;&gt;0),(1/((1/C70)+(1/D70))),IF(AND(C70&lt;&gt;0,D70=0),(1/(1/C70)),IF(AND(C70=0,D70&lt;&gt;0),(1/(1/D70)),0))),0)</f>
        <v>4.2872592788053572</v>
      </c>
      <c r="F70" s="70">
        <f>IFERROR(VLOOKUP("Pb-214",$A$4:$L$32,6)/$B70,0)</f>
        <v>0.15883004927165709</v>
      </c>
      <c r="G70" s="71">
        <f>IFERROR(VLOOKUP("Pb-214",$A$4:$L$32,7)/$B70,0)</f>
        <v>125.0644945434555</v>
      </c>
      <c r="H70" s="72">
        <f t="shared" ref="H70:H75" si="56">IFERROR(IF(AND(F70&lt;&gt;0,G70&lt;&gt;0),(1/((1/F70)+(1/G70))),IF(AND(F70&lt;&gt;0,G70=0),(1/(1/F70)),IF(AND(F70=0,G70&lt;&gt;0),(1/(1/G70)),0))),0)</f>
        <v>0.15862859331579834</v>
      </c>
      <c r="I70" s="70">
        <f>IFERROR(VLOOKUP("Pb-214",$A$4:$L$32,9)/$B70,0)</f>
        <v>1.3115419577275065E-16</v>
      </c>
      <c r="J70" s="71">
        <f>IFERROR(VLOOKUP("Pb-214",$A$4:$L$32,10)/$B70,0)</f>
        <v>1.0327222888105912E-13</v>
      </c>
      <c r="K70" s="72">
        <f>IFERROR(VLOOKUP("Pb-214",$A$4:$L$32,11)/$B70,0)</f>
        <v>1.3098784315877461E-16</v>
      </c>
    </row>
    <row r="71" spans="1:11">
      <c r="A71" s="31" t="s">
        <v>195</v>
      </c>
      <c r="B71" s="32">
        <v>0.99999979999999999</v>
      </c>
      <c r="C71" s="70">
        <f>IFERROR(VLOOKUP("Bi-214",$A$4:$L$32,3)/$B71,0)</f>
        <v>5.4644819672133336</v>
      </c>
      <c r="D71" s="71">
        <f>IFERROR(VLOOKUP("Bi-214",$A$4:$L$32,4)/$B71,0)</f>
        <v>527.59285507362029</v>
      </c>
      <c r="E71" s="72">
        <f t="shared" si="55"/>
        <v>5.4084644225796463</v>
      </c>
      <c r="F71" s="70">
        <f>IFERROR(VLOOKUP("Bi-214",$A$4:$L$32,6)/$B71,0)</f>
        <v>0.20218583278689353</v>
      </c>
      <c r="G71" s="71">
        <f>IFERROR(VLOOKUP("Bi-214",$A$4:$L$32,7)/$B71,0)</f>
        <v>19.520935637723973</v>
      </c>
      <c r="H71" s="72">
        <f t="shared" si="56"/>
        <v>0.20011318363544708</v>
      </c>
      <c r="I71" s="70">
        <f>IFERROR(VLOOKUP("Bi-214",$A$4:$L$32,9)/$B71,0)</f>
        <v>1.2397054820321405E-16</v>
      </c>
      <c r="J71" s="71">
        <f>IFERROR(VLOOKUP("Bi-214",$A$4:$L$32,10)/$B71,0)</f>
        <v>1.1969291117439629E-14</v>
      </c>
      <c r="K71" s="72">
        <f>IFERROR(VLOOKUP("Bi-214",$A$4:$L$32,11)/$B71,0)</f>
        <v>1.2269970025112946E-16</v>
      </c>
    </row>
    <row r="72" spans="1:11">
      <c r="A72" s="31" t="s">
        <v>197</v>
      </c>
      <c r="B72" s="32">
        <v>0.99979000004200003</v>
      </c>
      <c r="C72" s="70">
        <f>IFERROR(VLOOKUP("Po-214",$A$4:$L$32,3)/$B72,0)</f>
        <v>0</v>
      </c>
      <c r="D72" s="71">
        <f>IFERROR(VLOOKUP("Po-214",$A$4:$L$32,4)/$B72,0)</f>
        <v>9873611.482566122</v>
      </c>
      <c r="E72" s="72">
        <f t="shared" si="55"/>
        <v>9873611.482566122</v>
      </c>
      <c r="F72" s="70">
        <f>IFERROR(VLOOKUP("Po-214",$A$4:$L$32,6)/$B72,0)</f>
        <v>0</v>
      </c>
      <c r="G72" s="71">
        <f>IFERROR(VLOOKUP("Po-214",$A$4:$L$32,7)/$B72,0)</f>
        <v>365323.62485494686</v>
      </c>
      <c r="H72" s="72">
        <f t="shared" si="56"/>
        <v>365323.62485494686</v>
      </c>
      <c r="I72" s="70">
        <f>IFERROR(VLOOKUP("Po-214",$A$4:$L$32,9)/$B72,0)</f>
        <v>0</v>
      </c>
      <c r="J72" s="71">
        <f>IFERROR(VLOOKUP("Po-214",$A$4:$L$32,10)/$B72,0)</f>
        <v>3.0823276016555544E-17</v>
      </c>
      <c r="K72" s="72">
        <f>IFERROR(VLOOKUP("Po-214",$A$4:$L$32,11)/$B72,0)</f>
        <v>3.0823276016555544E-17</v>
      </c>
    </row>
    <row r="73" spans="1:11">
      <c r="A73" s="31" t="s">
        <v>198</v>
      </c>
      <c r="B73" s="32">
        <v>2.0999995799999999E-4</v>
      </c>
      <c r="C73" s="70">
        <f>IFERROR(VLOOKUP("Tl-210",$A$4:$L$32,3)/$B73,0)</f>
        <v>0</v>
      </c>
      <c r="D73" s="71">
        <f>IFERROR(VLOOKUP("Tl-210",$A$4:$L$32,4)/$B73,0)</f>
        <v>1353241.4139875325</v>
      </c>
      <c r="E73" s="72">
        <f t="shared" si="55"/>
        <v>1353241.4139875325</v>
      </c>
      <c r="F73" s="70">
        <f>IFERROR(VLOOKUP("Tl-210",$A$4:$L$32,6)/$B73,0)</f>
        <v>0</v>
      </c>
      <c r="G73" s="71">
        <f>IFERROR(VLOOKUP("Tl-210",$A$4:$L$32,7)/$B73,0)</f>
        <v>50069.932317538754</v>
      </c>
      <c r="H73" s="72">
        <f t="shared" si="56"/>
        <v>50069.932317538754</v>
      </c>
      <c r="I73" s="70">
        <f>IFERROR(VLOOKUP("Tl-210",$A$4:$L$32,9)/$B73,0)</f>
        <v>0</v>
      </c>
      <c r="J73" s="71">
        <f>IFERROR(VLOOKUP("Tl-210",$A$4:$L$32,10)/$B73,0)</f>
        <v>1.9680702755937104E-12</v>
      </c>
      <c r="K73" s="72">
        <f>IFERROR(VLOOKUP("Tl-210",$A$4:$L$32,11)/$B73,0)</f>
        <v>1.9680702755937104E-12</v>
      </c>
    </row>
    <row r="74" spans="1:11">
      <c r="A74" s="31" t="s">
        <v>199</v>
      </c>
      <c r="B74" s="32">
        <v>1</v>
      </c>
      <c r="C74" s="70">
        <f>IFERROR(VLOOKUP("Pb-210",$A$4:$L$32,3)/$B74,0)</f>
        <v>8.9641880686656805E-3</v>
      </c>
      <c r="D74" s="71">
        <f>IFERROR(VLOOKUP("Pb-210",$A$4:$L$32,4)/$B74,0)</f>
        <v>796429.81939201686</v>
      </c>
      <c r="E74" s="72">
        <f t="shared" si="55"/>
        <v>8.9641879677695747E-3</v>
      </c>
      <c r="F74" s="70">
        <f>IFERROR(VLOOKUP("Pb-210",$A$4:$L$32,6)/$B74,0)</f>
        <v>3.316749585406305E-4</v>
      </c>
      <c r="G74" s="71">
        <f>IFERROR(VLOOKUP("Pb-210",$A$4:$L$32,7)/$B74,0)</f>
        <v>29467.903317504653</v>
      </c>
      <c r="H74" s="72">
        <f t="shared" si="56"/>
        <v>3.3167495480747458E-4</v>
      </c>
      <c r="I74" s="70">
        <f>IFERROR(VLOOKUP("Pb-210",$A$4:$L$32,9)/$B74,0)</f>
        <v>1.1701492537313433E-13</v>
      </c>
      <c r="J74" s="71">
        <f>IFERROR(VLOOKUP("Pb-210",$A$4:$L$32,10)/$B74,0)</f>
        <v>1.0396276290415632E-5</v>
      </c>
      <c r="K74" s="72">
        <f>IFERROR(VLOOKUP("Pb-210",$A$4:$L$32,11)/$B74,0)</f>
        <v>1.1701492405607692E-13</v>
      </c>
    </row>
    <row r="75" spans="1:11">
      <c r="A75" s="31" t="s">
        <v>200</v>
      </c>
      <c r="B75" s="32">
        <v>1</v>
      </c>
      <c r="C75" s="70">
        <f>IFERROR(VLOOKUP("Bi-210",$A$4:$L$32,3)/$B75,0)</f>
        <v>0.37023324694557569</v>
      </c>
      <c r="D75" s="71">
        <f>IFERROR(VLOOKUP("Bi-210",$A$4:$L$32,4)/$B75,0)</f>
        <v>145394.7460983101</v>
      </c>
      <c r="E75" s="72">
        <f t="shared" si="55"/>
        <v>0.37023230418586961</v>
      </c>
      <c r="F75" s="70">
        <f>IFERROR(VLOOKUP("Bi-210",$A$4:$L$32,6)/$B75,0)</f>
        <v>1.3698630136986314E-2</v>
      </c>
      <c r="G75" s="71">
        <f>IFERROR(VLOOKUP("Bi-210",$A$4:$L$32,7)/$B75,0)</f>
        <v>5379.6056056374791</v>
      </c>
      <c r="H75" s="72">
        <f t="shared" si="56"/>
        <v>1.3698595254877188E-2</v>
      </c>
      <c r="I75" s="70">
        <f>IFERROR(VLOOKUP("Bi-210",$A$4:$L$32,9)/$B75,0)</f>
        <v>2.9899063259167337E-15</v>
      </c>
      <c r="J75" s="71">
        <f>IFERROR(VLOOKUP("Bi-210",$A$4:$L$32,10)/$B75,0)</f>
        <v>1.1741697286799799E-9</v>
      </c>
      <c r="K75" s="72">
        <f>IFERROR(VLOOKUP("Bi-210",$A$4:$L$32,11)/$B75,0)</f>
        <v>2.9898987124373054E-15</v>
      </c>
    </row>
    <row r="76" spans="1:11">
      <c r="A76" s="31" t="s">
        <v>202</v>
      </c>
      <c r="B76" s="32">
        <v>1</v>
      </c>
      <c r="C76" s="70">
        <f>IFERROR(VLOOKUP("Po-210",$A$4:$L$32,3)/$B76,0)</f>
        <v>1.1550011550011551E-2</v>
      </c>
      <c r="D76" s="71">
        <f>IFERROR(VLOOKUP("Po-210",$A$4:$L$32,4)/$B76,0)</f>
        <v>84296279.760368556</v>
      </c>
      <c r="E76" s="72">
        <f>IFERROR(IF(AND(C76&lt;&gt;0,D76&lt;&gt;0),(1/((1/C76)+(1/D76))),IF(AND(C76&lt;&gt;0,D76=0),(1/(1/C76)),IF(AND(C76=0,D76&lt;&gt;0),(1/(1/D76)),0))),0)</f>
        <v>1.1550011548429004E-2</v>
      </c>
      <c r="F76" s="70">
        <f>IFERROR(VLOOKUP("Po-210",$A$4:$L$32,6)/$B76,0)</f>
        <v>4.2735042735042784E-4</v>
      </c>
      <c r="G76" s="71">
        <f>IFERROR(VLOOKUP("Po-210",$A$4:$L$32,7)/$B76,0)</f>
        <v>3118962.3511336399</v>
      </c>
      <c r="H76" s="72">
        <f>IFERROR(IF(AND(F76&lt;&gt;0,G76&lt;&gt;0),(1/((1/F76)+(1/G76))),IF(AND(F76&lt;&gt;0,G76=0),(1/(1/F76)),IF(AND(F76=0,G76&lt;&gt;0),(1/(1/G76)),0))),0)</f>
        <v>4.273504272918736E-4</v>
      </c>
      <c r="I76" s="70">
        <f>IFERROR(VLOOKUP("Po-210",$A$4:$L$32,9)/$B76,0)</f>
        <v>2.5747060442950628E-15</v>
      </c>
      <c r="J76" s="71">
        <f>IFERROR(VLOOKUP("Po-210",$A$4:$L$32,10)/$B76,0)</f>
        <v>1.8791162248698485E-5</v>
      </c>
      <c r="K76" s="72">
        <f>IFERROR(VLOOKUP("Po-210",$A$4:$L$32,11)/$B76,0)</f>
        <v>2.5747060439422849E-15</v>
      </c>
    </row>
    <row r="77" spans="1:11">
      <c r="A77" s="31" t="s">
        <v>201</v>
      </c>
      <c r="B77" s="34">
        <v>1.9000000000000001E-8</v>
      </c>
      <c r="C77" s="70">
        <f>IFERROR(VLOOKUP("Hg-206",$A$4:$L$32,3)/$B77,0)</f>
        <v>0</v>
      </c>
      <c r="D77" s="71">
        <f>IFERROR(VLOOKUP("Hg-206",$A$4:$L$32,4)/$B77,0)</f>
        <v>355091295847.82281</v>
      </c>
      <c r="E77" s="72">
        <f t="shared" ref="E77:E78" si="57">IFERROR(IF(AND(C77&lt;&gt;0,D77&lt;&gt;0),(1/((1/C77)+(1/D77))),IF(AND(C77&lt;&gt;0,D77=0),(1/(1/C77)),IF(AND(C77=0,D77&lt;&gt;0),(1/(1/D77)),0))),0)</f>
        <v>355091295847.82281</v>
      </c>
      <c r="F77" s="70">
        <f>IFERROR(VLOOKUP("Hg-206",$A$4:$L$32,6)/$B77,0)</f>
        <v>0</v>
      </c>
      <c r="G77" s="71">
        <f>IFERROR(VLOOKUP("Hg-206",$A$4:$L$32,7)/$B77,0)</f>
        <v>13138377946.369457</v>
      </c>
      <c r="H77" s="72">
        <f t="shared" ref="H77:H78" si="58">IFERROR(IF(AND(F77&lt;&gt;0,G77&lt;&gt;0),(1/((1/F77)+(1/G77))),IF(AND(F77&lt;&gt;0,G77=0),(1/(1/F77)),IF(AND(F77=0,G77&lt;&gt;0),(1/(1/G77)),0))),0)</f>
        <v>13138377946.369457</v>
      </c>
      <c r="I77" s="70">
        <f>IFERROR(VLOOKUP("Hg-206",$A$4:$L$32,9)/$B77,0)</f>
        <v>0</v>
      </c>
      <c r="J77" s="71">
        <f>IFERROR(VLOOKUP("Hg-206",$A$4:$L$32,10)/$B77,0)</f>
        <v>3.175905202581735E-6</v>
      </c>
      <c r="K77" s="72">
        <f>IFERROR(VLOOKUP("Hg-206",$A$4:$L$32,11)/$B77,0)</f>
        <v>3.175905202581735E-6</v>
      </c>
    </row>
    <row r="78" spans="1:11">
      <c r="A78" s="31" t="s">
        <v>203</v>
      </c>
      <c r="B78" s="32">
        <v>1.339E-6</v>
      </c>
      <c r="C78" s="70">
        <f>IFERROR(VLOOKUP("Tl-206",$A$4:$L$32,3)/$B78,0)</f>
        <v>0</v>
      </c>
      <c r="D78" s="71">
        <f>IFERROR(VLOOKUP("Tl-206",$A$4:$L$32,4)/$B78,0)</f>
        <v>70566298194.946045</v>
      </c>
      <c r="E78" s="72">
        <f t="shared" si="57"/>
        <v>70566298194.946045</v>
      </c>
      <c r="F78" s="70">
        <f>IFERROR(VLOOKUP("Tl-206",$A$4:$L$32,6)/$B78,0)</f>
        <v>0</v>
      </c>
      <c r="G78" s="71">
        <f>IFERROR(VLOOKUP("Tl-206",$A$4:$L$32,7)/$B78,0)</f>
        <v>2610953033.2130065</v>
      </c>
      <c r="H78" s="72">
        <f t="shared" si="58"/>
        <v>2610953033.2130065</v>
      </c>
      <c r="I78" s="70">
        <f>IFERROR(VLOOKUP("Tl-206",$A$4:$L$32,9)/$B78,0)</f>
        <v>0</v>
      </c>
      <c r="J78" s="71">
        <f>IFERROR(VLOOKUP("Tl-206",$A$4:$L$32,10)/$B78,0)</f>
        <v>3.252494127761587E-7</v>
      </c>
      <c r="K78" s="72">
        <f>IFERROR(VLOOKUP("Tl-206",$A$4:$L$32,11)/$B78,0)</f>
        <v>3.252494127761587E-7</v>
      </c>
    </row>
  </sheetData>
  <sheetProtection algorithmName="SHA-512" hashValue="8yHZubMLf00zmxolmfZ6HC90JyVFMQXUUhPiFBCwqVHJ2U6bruuo7nasCw4khHOcj13ecukC+mYgpaOb6S1prA==" saltValue="m0B0+3/72GLc5fSzDbmIHA==" spinCount="100000" sheet="1" formatCells="0" formatColumns="0" formatRows="0" insertColumns="0" insertRows="0" autoFilter="0"/>
  <autoFilter ref="A2:K78" xr:uid="{00000000-0009-0000-0000-000008000000}"/>
  <mergeCells count="3">
    <mergeCell ref="C1:E1"/>
    <mergeCell ref="F1:H1"/>
    <mergeCell ref="I1:K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109</vt:i4>
      </vt:variant>
    </vt:vector>
  </HeadingPairs>
  <TitlesOfParts>
    <vt:vector size="132" baseType="lpstr">
      <vt:lpstr>Instructions</vt:lpstr>
      <vt:lpstr>Doses</vt:lpstr>
      <vt:lpstr>Isospec</vt:lpstr>
      <vt:lpstr>d</vt:lpstr>
      <vt:lpstr>res_dust</vt:lpstr>
      <vt:lpstr>res_air</vt:lpstr>
      <vt:lpstr>res_3D</vt:lpstr>
      <vt:lpstr>ind_dust</vt:lpstr>
      <vt:lpstr>ind_air</vt:lpstr>
      <vt:lpstr>ind_3D</vt:lpstr>
      <vt:lpstr>ss</vt:lpstr>
      <vt:lpstr>s_res_dust</vt:lpstr>
      <vt:lpstr>s_res_air</vt:lpstr>
      <vt:lpstr>s_res_3D</vt:lpstr>
      <vt:lpstr>s_ind_dust</vt:lpstr>
      <vt:lpstr>s_ind_air</vt:lpstr>
      <vt:lpstr>s_ind_3D</vt:lpstr>
      <vt:lpstr>s_res_dust_dose</vt:lpstr>
      <vt:lpstr>s_res_air_dose</vt:lpstr>
      <vt:lpstr>s_res_3D_dose</vt:lpstr>
      <vt:lpstr>s_ind_dust_dose</vt:lpstr>
      <vt:lpstr>s_ind_air_dose</vt:lpstr>
      <vt:lpstr>s_ind_3D_dose</vt:lpstr>
      <vt:lpstr>_1_bq</vt:lpstr>
      <vt:lpstr>AAFa</vt:lpstr>
      <vt:lpstr>AAFc</vt:lpstr>
      <vt:lpstr>DL</vt:lpstr>
      <vt:lpstr>EFiw</vt:lpstr>
      <vt:lpstr>EFres</vt:lpstr>
      <vt:lpstr>EFres_a</vt:lpstr>
      <vt:lpstr>EFres_c</vt:lpstr>
      <vt:lpstr>ETiw</vt:lpstr>
      <vt:lpstr>ETiw_h</vt:lpstr>
      <vt:lpstr>ETiw_s</vt:lpstr>
      <vt:lpstr>ETres</vt:lpstr>
      <vt:lpstr>ETres_a</vt:lpstr>
      <vt:lpstr>ETres_a_h</vt:lpstr>
      <vt:lpstr>ETres_a_s</vt:lpstr>
      <vt:lpstr>ETres_c</vt:lpstr>
      <vt:lpstr>ETres_c_h</vt:lpstr>
      <vt:lpstr>ETres_c_s</vt:lpstr>
      <vt:lpstr>Fam</vt:lpstr>
      <vt:lpstr>Fi</vt:lpstr>
      <vt:lpstr>Fin</vt:lpstr>
      <vt:lpstr>Foff</vt:lpstr>
      <vt:lpstr>FQiw</vt:lpstr>
      <vt:lpstr>FQres_a</vt:lpstr>
      <vt:lpstr>FQres_c</vt:lpstr>
      <vt:lpstr>FSAres_a</vt:lpstr>
      <vt:lpstr>FSAres_c</vt:lpstr>
      <vt:lpstr>FTSSh</vt:lpstr>
      <vt:lpstr>ss!FTSSh_a</vt:lpstr>
      <vt:lpstr>FTSSh_a</vt:lpstr>
      <vt:lpstr>ss!FTSSh_c</vt:lpstr>
      <vt:lpstr>FTSSh_c</vt:lpstr>
      <vt:lpstr>FTSSs</vt:lpstr>
      <vt:lpstr>ss!FTSSs_a</vt:lpstr>
      <vt:lpstr>FTSSs_a</vt:lpstr>
      <vt:lpstr>ss!FTSSs_c</vt:lpstr>
      <vt:lpstr>FTSSs_c</vt:lpstr>
      <vt:lpstr>GSFa</vt:lpstr>
      <vt:lpstr>GSFb</vt:lpstr>
      <vt:lpstr>IFAres_adj</vt:lpstr>
      <vt:lpstr>IFDiw</vt:lpstr>
      <vt:lpstr>IFDres_adj</vt:lpstr>
      <vt:lpstr>IRAiw</vt:lpstr>
      <vt:lpstr>IRAres_a</vt:lpstr>
      <vt:lpstr>IRAres_c</vt:lpstr>
      <vt:lpstr>IRDiw</vt:lpstr>
      <vt:lpstr>k</vt:lpstr>
      <vt:lpstr>k_decay</vt:lpstr>
      <vt:lpstr>k_decay_iw</vt:lpstr>
      <vt:lpstr>s_1_bq</vt:lpstr>
      <vt:lpstr>s_AAFa</vt:lpstr>
      <vt:lpstr>s_AAFc</vt:lpstr>
      <vt:lpstr>s_C</vt:lpstr>
      <vt:lpstr>s_DL</vt:lpstr>
      <vt:lpstr>s_EFiw</vt:lpstr>
      <vt:lpstr>s_EFres</vt:lpstr>
      <vt:lpstr>s_EFres_a</vt:lpstr>
      <vt:lpstr>s_EFres_c</vt:lpstr>
      <vt:lpstr>s_ETiw</vt:lpstr>
      <vt:lpstr>s_ETiw_h</vt:lpstr>
      <vt:lpstr>s_ETiw_s</vt:lpstr>
      <vt:lpstr>s_ETres</vt:lpstr>
      <vt:lpstr>s_ETres_a</vt:lpstr>
      <vt:lpstr>s_ETres_a_h</vt:lpstr>
      <vt:lpstr>s_ETres_a_s</vt:lpstr>
      <vt:lpstr>s_ETres_c</vt:lpstr>
      <vt:lpstr>s_ETres_c_h</vt:lpstr>
      <vt:lpstr>s_ETres_c_s</vt:lpstr>
      <vt:lpstr>s_Fam</vt:lpstr>
      <vt:lpstr>s_Fi</vt:lpstr>
      <vt:lpstr>s_Fin</vt:lpstr>
      <vt:lpstr>s_Foff</vt:lpstr>
      <vt:lpstr>s_FQiw</vt:lpstr>
      <vt:lpstr>s_FQres_a</vt:lpstr>
      <vt:lpstr>s_FQres_c</vt:lpstr>
      <vt:lpstr>s_FSAres_a</vt:lpstr>
      <vt:lpstr>s_FSAres_c</vt:lpstr>
      <vt:lpstr>s_FTSSh</vt:lpstr>
      <vt:lpstr>s_FTSSh_a</vt:lpstr>
      <vt:lpstr>s_FTSSh_c</vt:lpstr>
      <vt:lpstr>s_FTSSs</vt:lpstr>
      <vt:lpstr>s_FTSSs_a</vt:lpstr>
      <vt:lpstr>s_FTSSs_c</vt:lpstr>
      <vt:lpstr>s_GSFa</vt:lpstr>
      <vt:lpstr>s_GSFb</vt:lpstr>
      <vt:lpstr>s_IFAres_adj</vt:lpstr>
      <vt:lpstr>s_IFDiw</vt:lpstr>
      <vt:lpstr>s_IFDres_adj</vt:lpstr>
      <vt:lpstr>s_IRAiw</vt:lpstr>
      <vt:lpstr>s_IRAres_a</vt:lpstr>
      <vt:lpstr>s_IRAres_c</vt:lpstr>
      <vt:lpstr>s_IRDiw</vt:lpstr>
      <vt:lpstr>s_k</vt:lpstr>
      <vt:lpstr>s_SAiw</vt:lpstr>
      <vt:lpstr>s_SAres_a</vt:lpstr>
      <vt:lpstr>s_SAres_c</vt:lpstr>
      <vt:lpstr>s_SE</vt:lpstr>
      <vt:lpstr>s_SSLcm_m</vt:lpstr>
      <vt:lpstr>s_SSLgram</vt:lpstr>
      <vt:lpstr>s_tiw</vt:lpstr>
      <vt:lpstr>s_tres</vt:lpstr>
      <vt:lpstr>SAiw</vt:lpstr>
      <vt:lpstr>SAres_a</vt:lpstr>
      <vt:lpstr>SAres_c</vt:lpstr>
      <vt:lpstr>SE</vt:lpstr>
      <vt:lpstr>SSLcm_m</vt:lpstr>
      <vt:lpstr>SSLgram</vt:lpstr>
      <vt:lpstr>tiw</vt:lpstr>
      <vt:lpstr>tres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password</dc:title>
  <dc:creator>Manning, Karessa L.</dc:creator>
  <cp:keywords>is</cp:keywords>
  <cp:lastModifiedBy>Manning, Karessa</cp:lastModifiedBy>
  <dcterms:created xsi:type="dcterms:W3CDTF">2016-07-07T21:45:55Z</dcterms:created>
  <dcterms:modified xsi:type="dcterms:W3CDTF">2024-09-19T13:24:30Z</dcterms:modified>
  <cp:category>testing12</cp:category>
</cp:coreProperties>
</file>