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Y:\www\devel\htdocs\autoQApython\bdcc\qa\"/>
    </mc:Choice>
  </mc:AlternateContent>
  <xr:revisionPtr revIDLastSave="0" documentId="13_ncr:1_{2457A24D-2805-4FE9-8A7D-3D7D7F21AFD6}" xr6:coauthVersionLast="47" xr6:coauthVersionMax="47" xr10:uidLastSave="{00000000-0000-0000-0000-000000000000}"/>
  <bookViews>
    <workbookView xWindow="-120" yWindow="-120" windowWidth="29040" windowHeight="15840" tabRatio="861" xr2:uid="{00000000-000D-0000-FFFF-FFFF00000000}"/>
  </bookViews>
  <sheets>
    <sheet name="Instructions" sheetId="23" r:id="rId1"/>
    <sheet name="Doses" sheetId="1" r:id="rId2"/>
    <sheet name="Isospec" sheetId="7" r:id="rId3"/>
    <sheet name="ss" sheetId="6" r:id="rId4"/>
    <sheet name="up_res_dust" sheetId="11" r:id="rId5"/>
    <sheet name="up_res_air" sheetId="12" r:id="rId6"/>
    <sheet name="up_res_3D" sheetId="13" r:id="rId7"/>
    <sheet name="up_ind_dust" sheetId="14" r:id="rId8"/>
    <sheet name="up_ind_air" sheetId="15" r:id="rId9"/>
    <sheet name="up_ind_3D" sheetId="16" r:id="rId10"/>
    <sheet name="up_res_dust_dose" sheetId="17" r:id="rId11"/>
    <sheet name="up_res_air_dose" sheetId="18" r:id="rId12"/>
    <sheet name="up_res_3D_dose" sheetId="19" r:id="rId13"/>
    <sheet name="up_ind_dust_dose" sheetId="20" r:id="rId14"/>
    <sheet name="up_ind_air_dose" sheetId="21" r:id="rId15"/>
    <sheet name="up_ind_3D_dose" sheetId="22" r:id="rId16"/>
  </sheets>
  <definedNames>
    <definedName name="_1_bq">#REF!</definedName>
    <definedName name="_xlnm._FilterDatabase" localSheetId="1" hidden="1">Doses!$A$1:$O$30</definedName>
    <definedName name="_xlnm._FilterDatabase" localSheetId="2" hidden="1">Isospec!$A$2:$R$31</definedName>
    <definedName name="_xlnm._FilterDatabase" localSheetId="9" hidden="1">up_ind_3D!$A$2:$R$78</definedName>
    <definedName name="_xlnm._FilterDatabase" localSheetId="15" hidden="1">up_ind_3D_dose!$A$2:$Q$78</definedName>
    <definedName name="_xlnm._FilterDatabase" localSheetId="8" hidden="1">up_ind_air!$A$2:$K$78</definedName>
    <definedName name="_xlnm._FilterDatabase" localSheetId="14" hidden="1">up_ind_air_dose!$A$2:$J$78</definedName>
    <definedName name="_xlnm._FilterDatabase" localSheetId="7" hidden="1">up_ind_dust!$A$2:$L$78</definedName>
    <definedName name="_xlnm._FilterDatabase" localSheetId="13" hidden="1">up_ind_dust_dose!$A$2:$J$78</definedName>
    <definedName name="_xlnm._FilterDatabase" localSheetId="6" hidden="1">up_res_3D!$A$2:$R$78</definedName>
    <definedName name="_xlnm._FilterDatabase" localSheetId="12" hidden="1">up_res_3D_dose!$A$2:$Q$78</definedName>
    <definedName name="_xlnm._FilterDatabase" localSheetId="5" hidden="1">up_res_air!$A$2:$K$78</definedName>
    <definedName name="_xlnm._FilterDatabase" localSheetId="11" hidden="1">up_res_air_dose!$A$2:$J$78</definedName>
    <definedName name="_xlnm._FilterDatabase" localSheetId="4" hidden="1">up_res_dust!$A$2:$L$78</definedName>
    <definedName name="_xlnm._FilterDatabase" localSheetId="10" hidden="1">up_res_dust_dose!$A$2:$J$78</definedName>
    <definedName name="AAFa">#REF!</definedName>
    <definedName name="AAFc">#REF!</definedName>
    <definedName name="DL">#REF!</definedName>
    <definedName name="EFiw">#REF!</definedName>
    <definedName name="EFres">#REF!</definedName>
    <definedName name="EFres_a">#REF!</definedName>
    <definedName name="EFres_c">#REF!</definedName>
    <definedName name="ETiw">#REF!</definedName>
    <definedName name="ETiw_h">#REF!</definedName>
    <definedName name="ETiw_s">#REF!</definedName>
    <definedName name="ETres">#REF!</definedName>
    <definedName name="ETres_a">#REF!</definedName>
    <definedName name="ETres_a_h">#REF!</definedName>
    <definedName name="ETres_a_s">#REF!</definedName>
    <definedName name="ETres_c">#REF!</definedName>
    <definedName name="ETres_c_h">#REF!</definedName>
    <definedName name="ETres_c_s">#REF!</definedName>
    <definedName name="Fam">#REF!</definedName>
    <definedName name="Fi">#REF!</definedName>
    <definedName name="Fin">#REF!</definedName>
    <definedName name="Foff">#REF!</definedName>
    <definedName name="FQiw">#REF!</definedName>
    <definedName name="FQres_a">#REF!</definedName>
    <definedName name="FQres_c">#REF!</definedName>
    <definedName name="FSAres_a">#REF!</definedName>
    <definedName name="FSAres_c">#REF!</definedName>
    <definedName name="FTSSh">#REF!</definedName>
    <definedName name="FTSSh_a" localSheetId="3">ss!$B$8</definedName>
    <definedName name="FTSSh_a">#REF!</definedName>
    <definedName name="FTSSh_c" localSheetId="3">ss!$B$9</definedName>
    <definedName name="FTSSh_c">#REF!</definedName>
    <definedName name="FTSSs">#REF!</definedName>
    <definedName name="FTSSs_a" localSheetId="3">ss!$B$10</definedName>
    <definedName name="FTSSs_a">#REF!</definedName>
    <definedName name="FTSSs_c" localSheetId="3">ss!$B$11</definedName>
    <definedName name="FTSSs_c">#REF!</definedName>
    <definedName name="GSFa">#REF!</definedName>
    <definedName name="GSFb">#REF!</definedName>
    <definedName name="IFAres_adj">#REF!</definedName>
    <definedName name="IFDiw">#REF!</definedName>
    <definedName name="IFDres_adj">#REF!</definedName>
    <definedName name="IRAiw">#REF!</definedName>
    <definedName name="IRAres_a">#REF!</definedName>
    <definedName name="IRAres_c">#REF!</definedName>
    <definedName name="IRDiw">#REF!</definedName>
    <definedName name="k">#REF!</definedName>
    <definedName name="k_decay">ss!$E$25</definedName>
    <definedName name="k_decay_iw">ss!$H$11</definedName>
    <definedName name="s_1_bq">ss!$B$13</definedName>
    <definedName name="s_AAFa">ss!$E$4</definedName>
    <definedName name="s_AAFc">ss!$E$3</definedName>
    <definedName name="s_C">ss!$B$18</definedName>
    <definedName name="s_DL">ss!$B$2</definedName>
    <definedName name="s_EFiw">ss!$H$3</definedName>
    <definedName name="s_EFres">ss!$E$7</definedName>
    <definedName name="s_EFres_a">ss!$E$6</definedName>
    <definedName name="s_EFres_c">ss!$E$5</definedName>
    <definedName name="s_ETiw">ss!$H$4</definedName>
    <definedName name="s_ETiw_h">ss!$H$5</definedName>
    <definedName name="s_ETiw_s">ss!$H$6</definedName>
    <definedName name="s_ETres">ss!$E$8</definedName>
    <definedName name="s_ETres_a">ss!$E$10</definedName>
    <definedName name="s_ETres_a_h">ss!$E$11</definedName>
    <definedName name="s_ETres_a_s">ss!$E$13</definedName>
    <definedName name="s_ETres_c">ss!$E$9</definedName>
    <definedName name="s_ETres_c_h">ss!$E$12</definedName>
    <definedName name="s_ETres_c_s">ss!$E$14</definedName>
    <definedName name="s_Fam">ss!$B$6</definedName>
    <definedName name="s_Fi">ss!$B$5</definedName>
    <definedName name="s_Fin">ss!$B$4</definedName>
    <definedName name="s_Foff">ss!$B$7</definedName>
    <definedName name="s_FQiw">ss!$H$8</definedName>
    <definedName name="s_FQres_a">ss!$E$18</definedName>
    <definedName name="s_FQres_c">ss!$E$17</definedName>
    <definedName name="s_FSAres_a">ss!$E$20</definedName>
    <definedName name="s_FSAres_c">ss!$E$19</definedName>
    <definedName name="s_FTSSh">ss!$B$8</definedName>
    <definedName name="s_FTSSh_a">ss!$B$8</definedName>
    <definedName name="s_FTSSh_c">ss!$B$9</definedName>
    <definedName name="s_FTSSs">ss!$B$9</definedName>
    <definedName name="s_FTSSs_a">ss!$B$10</definedName>
    <definedName name="s_FTSSs_c">ss!$B$11</definedName>
    <definedName name="s_GSFa">ss!$B$16</definedName>
    <definedName name="s_GSFb">ss!$B$17</definedName>
    <definedName name="s_IFAres_adj">ss!$E$24</definedName>
    <definedName name="s_IFDiw">ss!$H$10</definedName>
    <definedName name="s_IFDres_adj">ss!$E$23</definedName>
    <definedName name="s_IRAiw">ss!$H$9</definedName>
    <definedName name="s_IRAres_a">ss!$E$22</definedName>
    <definedName name="s_IRAres_c">ss!$E$21</definedName>
    <definedName name="s_IRDiw">ss!$H$10</definedName>
    <definedName name="s_k">ss!$B$3</definedName>
    <definedName name="s_SAiw">ss!$H$7</definedName>
    <definedName name="s_SAres_a">ss!$E$16</definedName>
    <definedName name="s_SAres_c">ss!$E$15</definedName>
    <definedName name="s_SE">ss!$B$12</definedName>
    <definedName name="s_SSLcm_m">ss!$B$14</definedName>
    <definedName name="s_SSLgram">ss!$B$15</definedName>
    <definedName name="s_tiw">ss!$H$2</definedName>
    <definedName name="s_tres">ss!$E$2</definedName>
    <definedName name="SAiw">#REF!</definedName>
    <definedName name="SAres_a">#REF!</definedName>
    <definedName name="SAres_c">#REF!</definedName>
    <definedName name="SE">#REF!</definedName>
    <definedName name="SSLcm_m">#REF!</definedName>
    <definedName name="SSLgram">#REF!</definedName>
    <definedName name="tiw">#REF!</definedName>
    <definedName name="tr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9" i="20" l="1"/>
  <c r="H69" i="20" s="1"/>
  <c r="E67" i="20"/>
  <c r="H67" i="20" s="1"/>
  <c r="E57" i="20"/>
  <c r="H57" i="20" s="1"/>
  <c r="E56" i="20"/>
  <c r="H56" i="20" s="1"/>
  <c r="E54" i="20"/>
  <c r="H54" i="20" s="1"/>
  <c r="E42" i="20"/>
  <c r="H42" i="20" s="1"/>
  <c r="E40" i="20"/>
  <c r="H40" i="20" s="1"/>
  <c r="E30" i="20"/>
  <c r="H30" i="20" s="1"/>
  <c r="E29" i="20"/>
  <c r="H29" i="20" s="1"/>
  <c r="E27" i="20"/>
  <c r="H27" i="20" s="1"/>
  <c r="E24" i="20"/>
  <c r="H24" i="20" s="1"/>
  <c r="E19" i="20"/>
  <c r="H19" i="20" s="1"/>
  <c r="E18" i="20"/>
  <c r="H18" i="20" s="1"/>
  <c r="E17" i="20"/>
  <c r="H17" i="20" s="1"/>
  <c r="E15" i="20"/>
  <c r="H15" i="20" s="1"/>
  <c r="E12" i="20"/>
  <c r="H12" i="20" s="1"/>
  <c r="E7" i="20"/>
  <c r="H7" i="20" s="1"/>
  <c r="E6" i="20"/>
  <c r="H6" i="20" s="1"/>
  <c r="E5" i="20"/>
  <c r="H5" i="20" s="1"/>
  <c r="C4" i="20"/>
  <c r="E4" i="20" s="1"/>
  <c r="H4" i="20" s="1"/>
  <c r="D4" i="20"/>
  <c r="C5" i="20"/>
  <c r="E34" i="20" s="1"/>
  <c r="H34" i="20" s="1"/>
  <c r="D5" i="20"/>
  <c r="G5" i="20" s="1"/>
  <c r="J5" i="20" s="1"/>
  <c r="C6" i="20"/>
  <c r="D6" i="20"/>
  <c r="F42" i="20" s="1"/>
  <c r="I42" i="20" s="1"/>
  <c r="C7" i="20"/>
  <c r="E68" i="20" s="1"/>
  <c r="H68" i="20" s="1"/>
  <c r="D7" i="20"/>
  <c r="F68" i="20" s="1"/>
  <c r="I68" i="20" s="1"/>
  <c r="C8" i="20"/>
  <c r="E49" i="20" s="1"/>
  <c r="H49" i="20" s="1"/>
  <c r="D8" i="20"/>
  <c r="F8" i="20" s="1"/>
  <c r="I8" i="20" s="1"/>
  <c r="C9" i="20"/>
  <c r="E75" i="20" s="1"/>
  <c r="H75" i="20" s="1"/>
  <c r="D9" i="20"/>
  <c r="F9" i="20" s="1"/>
  <c r="I9" i="20" s="1"/>
  <c r="C10" i="20"/>
  <c r="E10" i="20" s="1"/>
  <c r="H10" i="20" s="1"/>
  <c r="D10" i="20"/>
  <c r="F10" i="20" s="1"/>
  <c r="I10" i="20" s="1"/>
  <c r="C11" i="20"/>
  <c r="E11" i="20" s="1"/>
  <c r="H11" i="20" s="1"/>
  <c r="D11" i="20"/>
  <c r="F71" i="20" s="1"/>
  <c r="I71" i="20" s="1"/>
  <c r="C12" i="20"/>
  <c r="E48" i="20" s="1"/>
  <c r="H48" i="20" s="1"/>
  <c r="D12" i="20"/>
  <c r="F12" i="20" s="1"/>
  <c r="I12" i="20" s="1"/>
  <c r="C13" i="20"/>
  <c r="E13" i="20" s="1"/>
  <c r="H13" i="20" s="1"/>
  <c r="D13" i="20"/>
  <c r="F13" i="20" s="1"/>
  <c r="I13" i="20" s="1"/>
  <c r="C14" i="20"/>
  <c r="E14" i="20" s="1"/>
  <c r="H14" i="20" s="1"/>
  <c r="D14" i="20"/>
  <c r="F14" i="20" s="1"/>
  <c r="I14" i="20" s="1"/>
  <c r="C15" i="20"/>
  <c r="E35" i="20" s="1"/>
  <c r="H35" i="20" s="1"/>
  <c r="D15" i="20"/>
  <c r="C16" i="20"/>
  <c r="E36" i="20" s="1"/>
  <c r="H36" i="20" s="1"/>
  <c r="D16" i="20"/>
  <c r="C17" i="20"/>
  <c r="E46" i="20" s="1"/>
  <c r="H46" i="20" s="1"/>
  <c r="D17" i="20"/>
  <c r="C18" i="20"/>
  <c r="E74" i="20" s="1"/>
  <c r="H74" i="20" s="1"/>
  <c r="D18" i="20"/>
  <c r="C19" i="20"/>
  <c r="E70" i="20" s="1"/>
  <c r="H70" i="20" s="1"/>
  <c r="D19" i="20"/>
  <c r="F70" i="20" s="1"/>
  <c r="I70" i="20" s="1"/>
  <c r="C20" i="20"/>
  <c r="E76" i="20" s="1"/>
  <c r="H76" i="20" s="1"/>
  <c r="D20" i="20"/>
  <c r="F76" i="20" s="1"/>
  <c r="I76" i="20" s="1"/>
  <c r="C21" i="20"/>
  <c r="E21" i="20" s="1"/>
  <c r="H21" i="20" s="1"/>
  <c r="D21" i="20"/>
  <c r="C22" i="20"/>
  <c r="E22" i="20" s="1"/>
  <c r="H22" i="20" s="1"/>
  <c r="D22" i="20"/>
  <c r="F58" i="20" s="1"/>
  <c r="I58" i="20" s="1"/>
  <c r="C23" i="20"/>
  <c r="E53" i="20" s="1"/>
  <c r="H53" i="20" s="1"/>
  <c r="D23" i="20"/>
  <c r="C24" i="20"/>
  <c r="E39" i="20" s="1"/>
  <c r="H39" i="20" s="1"/>
  <c r="D24" i="20"/>
  <c r="F24" i="20" s="1"/>
  <c r="I24" i="20" s="1"/>
  <c r="C25" i="20"/>
  <c r="E25" i="20" s="1"/>
  <c r="H25" i="20" s="1"/>
  <c r="D25" i="20"/>
  <c r="C26" i="20"/>
  <c r="E26" i="20" s="1"/>
  <c r="H26" i="20" s="1"/>
  <c r="D26" i="20"/>
  <c r="G26" i="20" s="1"/>
  <c r="J26" i="20" s="1"/>
  <c r="C27" i="20"/>
  <c r="E66" i="20" s="1"/>
  <c r="H66" i="20" s="1"/>
  <c r="D27" i="20"/>
  <c r="C28" i="20"/>
  <c r="E38" i="20" s="1"/>
  <c r="H38" i="20" s="1"/>
  <c r="D28" i="20"/>
  <c r="C29" i="20"/>
  <c r="E78" i="20" s="1"/>
  <c r="H78" i="20" s="1"/>
  <c r="D29" i="20"/>
  <c r="C30" i="20"/>
  <c r="E45" i="20" s="1"/>
  <c r="H45" i="20" s="1"/>
  <c r="D30" i="20"/>
  <c r="F30" i="20" s="1"/>
  <c r="I30" i="20" s="1"/>
  <c r="C31" i="20"/>
  <c r="E73" i="20" s="1"/>
  <c r="H73" i="20" s="1"/>
  <c r="D31" i="20"/>
  <c r="C32" i="20"/>
  <c r="E37" i="20" s="1"/>
  <c r="H37" i="20" s="1"/>
  <c r="D32" i="20"/>
  <c r="F32" i="20" s="1"/>
  <c r="I32" i="20" s="1"/>
  <c r="H10" i="6"/>
  <c r="F76" i="21"/>
  <c r="I76" i="21" s="1"/>
  <c r="F64" i="21"/>
  <c r="I64" i="21" s="1"/>
  <c r="F63" i="21"/>
  <c r="I63" i="21" s="1"/>
  <c r="F62" i="21"/>
  <c r="I62" i="21" s="1"/>
  <c r="F60" i="21"/>
  <c r="I60" i="21" s="1"/>
  <c r="F52" i="21"/>
  <c r="I52" i="21" s="1"/>
  <c r="F51" i="21"/>
  <c r="I51" i="21" s="1"/>
  <c r="F49" i="21"/>
  <c r="I49" i="21" s="1"/>
  <c r="F46" i="21"/>
  <c r="I46" i="21" s="1"/>
  <c r="F38" i="21"/>
  <c r="I38" i="21" s="1"/>
  <c r="F37" i="21"/>
  <c r="I37" i="21" s="1"/>
  <c r="F36" i="21"/>
  <c r="I36" i="21" s="1"/>
  <c r="F34" i="21"/>
  <c r="I34" i="21" s="1"/>
  <c r="F25" i="21"/>
  <c r="I25" i="21" s="1"/>
  <c r="F24" i="21"/>
  <c r="I24" i="21" s="1"/>
  <c r="F23" i="21"/>
  <c r="I23" i="21" s="1"/>
  <c r="F13" i="21"/>
  <c r="I13" i="21" s="1"/>
  <c r="F12" i="21"/>
  <c r="I12" i="21" s="1"/>
  <c r="F11" i="21"/>
  <c r="I11" i="21" s="1"/>
  <c r="C4" i="21"/>
  <c r="C5" i="21"/>
  <c r="E34" i="21" s="1"/>
  <c r="H34" i="21" s="1"/>
  <c r="C6" i="21"/>
  <c r="C7" i="21"/>
  <c r="E7" i="21" s="1"/>
  <c r="H7" i="21" s="1"/>
  <c r="C8" i="21"/>
  <c r="G8" i="21" s="1"/>
  <c r="J8" i="21" s="1"/>
  <c r="C9" i="21"/>
  <c r="C10" i="21"/>
  <c r="C11" i="21"/>
  <c r="C12" i="21"/>
  <c r="C13" i="21"/>
  <c r="C14" i="21"/>
  <c r="C15" i="21"/>
  <c r="C16" i="21"/>
  <c r="C17" i="21"/>
  <c r="C18" i="21"/>
  <c r="C19" i="21"/>
  <c r="C20" i="21"/>
  <c r="C21" i="21"/>
  <c r="C22" i="21"/>
  <c r="C23" i="21"/>
  <c r="C24" i="21"/>
  <c r="C25" i="21"/>
  <c r="C26" i="21"/>
  <c r="C27" i="21"/>
  <c r="C28" i="21"/>
  <c r="C29" i="21"/>
  <c r="C30" i="21"/>
  <c r="C31" i="21"/>
  <c r="C32" i="21"/>
  <c r="D32" i="21"/>
  <c r="F32" i="21" s="1"/>
  <c r="I32" i="21" s="1"/>
  <c r="D31" i="21"/>
  <c r="F59" i="21" s="1"/>
  <c r="I59" i="21" s="1"/>
  <c r="D30" i="21"/>
  <c r="F45" i="21" s="1"/>
  <c r="I45" i="21" s="1"/>
  <c r="D29" i="21"/>
  <c r="F29" i="21" s="1"/>
  <c r="I29" i="21" s="1"/>
  <c r="D28" i="21"/>
  <c r="F28" i="21" s="1"/>
  <c r="I28" i="21" s="1"/>
  <c r="D27" i="21"/>
  <c r="F27" i="21" s="1"/>
  <c r="I27" i="21" s="1"/>
  <c r="D26" i="21"/>
  <c r="F69" i="21" s="1"/>
  <c r="I69" i="21" s="1"/>
  <c r="D25" i="21"/>
  <c r="D24" i="21"/>
  <c r="F39" i="21" s="1"/>
  <c r="I39" i="21" s="1"/>
  <c r="D23" i="21"/>
  <c r="F67" i="21" s="1"/>
  <c r="I67" i="21" s="1"/>
  <c r="D22" i="21"/>
  <c r="F72" i="21" s="1"/>
  <c r="I72" i="21" s="1"/>
  <c r="D21" i="21"/>
  <c r="F44" i="21" s="1"/>
  <c r="I44" i="21" s="1"/>
  <c r="D20" i="21"/>
  <c r="F20" i="21" s="1"/>
  <c r="I20" i="21" s="1"/>
  <c r="D19" i="21"/>
  <c r="F19" i="21" s="1"/>
  <c r="I19" i="21" s="1"/>
  <c r="D18" i="21"/>
  <c r="F18" i="21" s="1"/>
  <c r="I18" i="21" s="1"/>
  <c r="D17" i="21"/>
  <c r="F17" i="21" s="1"/>
  <c r="I17" i="21" s="1"/>
  <c r="D16" i="21"/>
  <c r="F16" i="21" s="1"/>
  <c r="I16" i="21" s="1"/>
  <c r="D15" i="21"/>
  <c r="F15" i="21" s="1"/>
  <c r="I15" i="21" s="1"/>
  <c r="D14" i="21"/>
  <c r="F14" i="21" s="1"/>
  <c r="I14" i="21" s="1"/>
  <c r="D13" i="21"/>
  <c r="F41" i="21" s="1"/>
  <c r="I41" i="21" s="1"/>
  <c r="D12" i="21"/>
  <c r="F48" i="21" s="1"/>
  <c r="I48" i="21" s="1"/>
  <c r="D11" i="21"/>
  <c r="F71" i="21" s="1"/>
  <c r="I71" i="21" s="1"/>
  <c r="D10" i="21"/>
  <c r="F43" i="21" s="1"/>
  <c r="I43" i="21" s="1"/>
  <c r="D9" i="21"/>
  <c r="F75" i="21" s="1"/>
  <c r="I75" i="21" s="1"/>
  <c r="D8" i="21"/>
  <c r="F8" i="21" s="1"/>
  <c r="I8" i="21" s="1"/>
  <c r="D7" i="21"/>
  <c r="F7" i="21" s="1"/>
  <c r="I7" i="21" s="1"/>
  <c r="D6" i="21"/>
  <c r="F6" i="21" s="1"/>
  <c r="I6" i="21" s="1"/>
  <c r="D5" i="21"/>
  <c r="F5" i="21" s="1"/>
  <c r="I5" i="21" s="1"/>
  <c r="D4" i="21"/>
  <c r="F4" i="21" s="1"/>
  <c r="I4" i="21" s="1"/>
  <c r="I40" i="22"/>
  <c r="N40" i="22" s="1"/>
  <c r="C4" i="22"/>
  <c r="H40" i="22" s="1"/>
  <c r="M40" i="22" s="1"/>
  <c r="D4" i="22"/>
  <c r="I4" i="22" s="1"/>
  <c r="N4" i="22" s="1"/>
  <c r="E4" i="22"/>
  <c r="J40" i="22" s="1"/>
  <c r="O40" i="22" s="1"/>
  <c r="F4" i="22"/>
  <c r="K4" i="22" s="1"/>
  <c r="P4" i="22" s="1"/>
  <c r="G4" i="22"/>
  <c r="L4" i="22" s="1"/>
  <c r="Q4" i="22" s="1"/>
  <c r="C5" i="22"/>
  <c r="H34" i="22" s="1"/>
  <c r="M34" i="22" s="1"/>
  <c r="D5" i="22"/>
  <c r="I34" i="22" s="1"/>
  <c r="N34" i="22" s="1"/>
  <c r="E5" i="22"/>
  <c r="J34" i="22" s="1"/>
  <c r="O34" i="22" s="1"/>
  <c r="F5" i="22"/>
  <c r="K5" i="22" s="1"/>
  <c r="P5" i="22" s="1"/>
  <c r="G5" i="22"/>
  <c r="L34" i="22" s="1"/>
  <c r="Q34" i="22" s="1"/>
  <c r="C6" i="22"/>
  <c r="H42" i="22" s="1"/>
  <c r="M42" i="22" s="1"/>
  <c r="D6" i="22"/>
  <c r="I6" i="22" s="1"/>
  <c r="N6" i="22" s="1"/>
  <c r="E6" i="22"/>
  <c r="J42" i="22" s="1"/>
  <c r="O42" i="22" s="1"/>
  <c r="F6" i="22"/>
  <c r="K42" i="22" s="1"/>
  <c r="P42" i="22" s="1"/>
  <c r="G6" i="22"/>
  <c r="C7" i="22"/>
  <c r="D7" i="22"/>
  <c r="I7" i="22" s="1"/>
  <c r="N7" i="22" s="1"/>
  <c r="E7" i="22"/>
  <c r="J54" i="22" s="1"/>
  <c r="O54" i="22" s="1"/>
  <c r="F7" i="22"/>
  <c r="K7" i="22" s="1"/>
  <c r="P7" i="22" s="1"/>
  <c r="G7" i="22"/>
  <c r="L68" i="22" s="1"/>
  <c r="Q68" i="22" s="1"/>
  <c r="C8" i="22"/>
  <c r="H49" i="22" s="1"/>
  <c r="M49" i="22" s="1"/>
  <c r="D8" i="22"/>
  <c r="I49" i="22" s="1"/>
  <c r="N49" i="22" s="1"/>
  <c r="E8" i="22"/>
  <c r="F8" i="22"/>
  <c r="G8" i="22"/>
  <c r="L49" i="22" s="1"/>
  <c r="Q49" i="22" s="1"/>
  <c r="C9" i="22"/>
  <c r="H61" i="22" s="1"/>
  <c r="M61" i="22" s="1"/>
  <c r="D9" i="22"/>
  <c r="E9" i="22"/>
  <c r="F9" i="22"/>
  <c r="G9" i="22"/>
  <c r="L75" i="22" s="1"/>
  <c r="Q75" i="22" s="1"/>
  <c r="C10" i="22"/>
  <c r="D10" i="22"/>
  <c r="I10" i="22" s="1"/>
  <c r="N10" i="22" s="1"/>
  <c r="E10" i="22"/>
  <c r="J43" i="22" s="1"/>
  <c r="O43" i="22" s="1"/>
  <c r="F10" i="22"/>
  <c r="K43" i="22" s="1"/>
  <c r="P43" i="22" s="1"/>
  <c r="G10" i="22"/>
  <c r="L43" i="22" s="1"/>
  <c r="Q43" i="22" s="1"/>
  <c r="C11" i="22"/>
  <c r="H71" i="22" s="1"/>
  <c r="M71" i="22" s="1"/>
  <c r="D11" i="22"/>
  <c r="I11" i="22" s="1"/>
  <c r="N11" i="22" s="1"/>
  <c r="E11" i="22"/>
  <c r="J71" i="22" s="1"/>
  <c r="O71" i="22" s="1"/>
  <c r="F11" i="22"/>
  <c r="K11" i="22" s="1"/>
  <c r="P11" i="22" s="1"/>
  <c r="G11" i="22"/>
  <c r="L71" i="22" s="1"/>
  <c r="Q71" i="22" s="1"/>
  <c r="C12" i="22"/>
  <c r="D12" i="22"/>
  <c r="E12" i="22"/>
  <c r="J12" i="22" s="1"/>
  <c r="O12" i="22" s="1"/>
  <c r="F12" i="22"/>
  <c r="G12" i="22"/>
  <c r="L48" i="22" s="1"/>
  <c r="Q48" i="22" s="1"/>
  <c r="C13" i="22"/>
  <c r="D13" i="22"/>
  <c r="E13" i="22"/>
  <c r="J41" i="22" s="1"/>
  <c r="O41" i="22" s="1"/>
  <c r="F13" i="22"/>
  <c r="G13" i="22"/>
  <c r="L41" i="22" s="1"/>
  <c r="Q41" i="22" s="1"/>
  <c r="C14" i="22"/>
  <c r="D14" i="22"/>
  <c r="E14" i="22"/>
  <c r="F14" i="22"/>
  <c r="K14" i="22" s="1"/>
  <c r="P14" i="22" s="1"/>
  <c r="G14" i="22"/>
  <c r="C15" i="22"/>
  <c r="H15" i="22" s="1"/>
  <c r="M15" i="22" s="1"/>
  <c r="D15" i="22"/>
  <c r="I35" i="22" s="1"/>
  <c r="N35" i="22" s="1"/>
  <c r="E15" i="22"/>
  <c r="F15" i="22"/>
  <c r="G15" i="22"/>
  <c r="C16" i="22"/>
  <c r="D16" i="22"/>
  <c r="E16" i="22"/>
  <c r="F16" i="22"/>
  <c r="G16" i="22"/>
  <c r="C17" i="22"/>
  <c r="D17" i="22"/>
  <c r="E17" i="22"/>
  <c r="J46" i="22" s="1"/>
  <c r="O46" i="22" s="1"/>
  <c r="F17" i="22"/>
  <c r="G17" i="22"/>
  <c r="C18" i="22"/>
  <c r="D18" i="22"/>
  <c r="E18" i="22"/>
  <c r="F18" i="22"/>
  <c r="G18" i="22"/>
  <c r="C19" i="22"/>
  <c r="D19" i="22"/>
  <c r="E19" i="22"/>
  <c r="F19" i="22"/>
  <c r="G19" i="22"/>
  <c r="L70" i="22" s="1"/>
  <c r="Q70" i="22" s="1"/>
  <c r="C20" i="22"/>
  <c r="D20" i="22"/>
  <c r="E20" i="22"/>
  <c r="F20" i="22"/>
  <c r="G20" i="22"/>
  <c r="C21" i="22"/>
  <c r="D21" i="22"/>
  <c r="E21" i="22"/>
  <c r="F21" i="22"/>
  <c r="G21" i="22"/>
  <c r="C22" i="22"/>
  <c r="D22" i="22"/>
  <c r="E22" i="22"/>
  <c r="F22" i="22"/>
  <c r="G22" i="22"/>
  <c r="C23" i="22"/>
  <c r="D23" i="22"/>
  <c r="E23" i="22"/>
  <c r="J53" i="22" s="1"/>
  <c r="O53" i="22" s="1"/>
  <c r="F23" i="22"/>
  <c r="G23" i="22"/>
  <c r="C24" i="22"/>
  <c r="H24" i="22" s="1"/>
  <c r="M24" i="22" s="1"/>
  <c r="D24" i="22"/>
  <c r="E24" i="22"/>
  <c r="F24" i="22"/>
  <c r="G24" i="22"/>
  <c r="L39" i="22" s="1"/>
  <c r="Q39" i="22" s="1"/>
  <c r="C25" i="22"/>
  <c r="D25" i="22"/>
  <c r="E25" i="22"/>
  <c r="F25" i="22"/>
  <c r="G25" i="22"/>
  <c r="C26" i="22"/>
  <c r="D26" i="22"/>
  <c r="E26" i="22"/>
  <c r="F26" i="22"/>
  <c r="G26" i="22"/>
  <c r="C27" i="22"/>
  <c r="D27" i="22"/>
  <c r="E27" i="22"/>
  <c r="F27" i="22"/>
  <c r="K27" i="22" s="1"/>
  <c r="P27" i="22" s="1"/>
  <c r="G27" i="22"/>
  <c r="L66" i="22" s="1"/>
  <c r="Q66" i="22" s="1"/>
  <c r="C28" i="22"/>
  <c r="D28" i="22"/>
  <c r="E28" i="22"/>
  <c r="F28" i="22"/>
  <c r="G28" i="22"/>
  <c r="C29" i="22"/>
  <c r="D29" i="22"/>
  <c r="E29" i="22"/>
  <c r="F29" i="22"/>
  <c r="G29" i="22"/>
  <c r="C30" i="22"/>
  <c r="D30" i="22"/>
  <c r="E30" i="22"/>
  <c r="F30" i="22"/>
  <c r="G30" i="22"/>
  <c r="C31" i="22"/>
  <c r="D31" i="22"/>
  <c r="E31" i="22"/>
  <c r="F31" i="22"/>
  <c r="G31" i="22"/>
  <c r="C32" i="22"/>
  <c r="D32" i="22"/>
  <c r="E32" i="22"/>
  <c r="F32" i="22"/>
  <c r="G32" i="22"/>
  <c r="G32" i="19"/>
  <c r="L37" i="19" s="1"/>
  <c r="Q37" i="19" s="1"/>
  <c r="F32" i="19"/>
  <c r="K37" i="19" s="1"/>
  <c r="P37" i="19" s="1"/>
  <c r="E32" i="19"/>
  <c r="J37" i="19" s="1"/>
  <c r="O37" i="19" s="1"/>
  <c r="D32" i="19"/>
  <c r="I37" i="19" s="1"/>
  <c r="N37" i="19" s="1"/>
  <c r="C32" i="19"/>
  <c r="G31" i="19"/>
  <c r="L73" i="19" s="1"/>
  <c r="Q73" i="19" s="1"/>
  <c r="F31" i="19"/>
  <c r="K73" i="19" s="1"/>
  <c r="P73" i="19" s="1"/>
  <c r="E31" i="19"/>
  <c r="J73" i="19" s="1"/>
  <c r="O73" i="19" s="1"/>
  <c r="D31" i="19"/>
  <c r="I73" i="19" s="1"/>
  <c r="N73" i="19" s="1"/>
  <c r="C31" i="19"/>
  <c r="H73" i="19" s="1"/>
  <c r="M73" i="19" s="1"/>
  <c r="G30" i="19"/>
  <c r="L45" i="19" s="1"/>
  <c r="Q45" i="19" s="1"/>
  <c r="F30" i="19"/>
  <c r="K45" i="19" s="1"/>
  <c r="P45" i="19" s="1"/>
  <c r="E30" i="19"/>
  <c r="J45" i="19" s="1"/>
  <c r="O45" i="19" s="1"/>
  <c r="D30" i="19"/>
  <c r="I45" i="19" s="1"/>
  <c r="N45" i="19" s="1"/>
  <c r="C30" i="19"/>
  <c r="G29" i="19"/>
  <c r="L78" i="19" s="1"/>
  <c r="Q78" i="19" s="1"/>
  <c r="F29" i="19"/>
  <c r="K78" i="19" s="1"/>
  <c r="P78" i="19" s="1"/>
  <c r="E29" i="19"/>
  <c r="J78" i="19" s="1"/>
  <c r="O78" i="19" s="1"/>
  <c r="D29" i="19"/>
  <c r="I78" i="19" s="1"/>
  <c r="N78" i="19" s="1"/>
  <c r="C29" i="19"/>
  <c r="H78" i="19" s="1"/>
  <c r="M78" i="19" s="1"/>
  <c r="G28" i="19"/>
  <c r="L38" i="19" s="1"/>
  <c r="Q38" i="19" s="1"/>
  <c r="F28" i="19"/>
  <c r="K38" i="19" s="1"/>
  <c r="P38" i="19" s="1"/>
  <c r="E28" i="19"/>
  <c r="J38" i="19" s="1"/>
  <c r="O38" i="19" s="1"/>
  <c r="D28" i="19"/>
  <c r="I38" i="19" s="1"/>
  <c r="N38" i="19" s="1"/>
  <c r="C28" i="19"/>
  <c r="G27" i="19"/>
  <c r="L66" i="19" s="1"/>
  <c r="Q66" i="19" s="1"/>
  <c r="F27" i="19"/>
  <c r="K66" i="19" s="1"/>
  <c r="P66" i="19" s="1"/>
  <c r="E27" i="19"/>
  <c r="J66" i="19" s="1"/>
  <c r="O66" i="19" s="1"/>
  <c r="D27" i="19"/>
  <c r="I66" i="19" s="1"/>
  <c r="N66" i="19" s="1"/>
  <c r="C27" i="19"/>
  <c r="H66" i="19" s="1"/>
  <c r="M66" i="19" s="1"/>
  <c r="G26" i="19"/>
  <c r="L69" i="19" s="1"/>
  <c r="Q69" i="19" s="1"/>
  <c r="F26" i="19"/>
  <c r="K69" i="19" s="1"/>
  <c r="P69" i="19" s="1"/>
  <c r="E26" i="19"/>
  <c r="J69" i="19" s="1"/>
  <c r="O69" i="19" s="1"/>
  <c r="D26" i="19"/>
  <c r="I69" i="19" s="1"/>
  <c r="N69" i="19" s="1"/>
  <c r="C26" i="19"/>
  <c r="H69" i="19" s="1"/>
  <c r="M69" i="19" s="1"/>
  <c r="G25" i="19"/>
  <c r="L51" i="19" s="1"/>
  <c r="Q51" i="19" s="1"/>
  <c r="F25" i="19"/>
  <c r="K51" i="19" s="1"/>
  <c r="P51" i="19" s="1"/>
  <c r="E25" i="19"/>
  <c r="J51" i="19" s="1"/>
  <c r="O51" i="19" s="1"/>
  <c r="D25" i="19"/>
  <c r="I51" i="19" s="1"/>
  <c r="N51" i="19" s="1"/>
  <c r="C25" i="19"/>
  <c r="G24" i="19"/>
  <c r="L39" i="19" s="1"/>
  <c r="Q39" i="19" s="1"/>
  <c r="F24" i="19"/>
  <c r="K39" i="19" s="1"/>
  <c r="P39" i="19" s="1"/>
  <c r="E24" i="19"/>
  <c r="J39" i="19" s="1"/>
  <c r="O39" i="19" s="1"/>
  <c r="D24" i="19"/>
  <c r="I39" i="19" s="1"/>
  <c r="N39" i="19" s="1"/>
  <c r="C24" i="19"/>
  <c r="G23" i="19"/>
  <c r="L67" i="19" s="1"/>
  <c r="Q67" i="19" s="1"/>
  <c r="F23" i="19"/>
  <c r="K67" i="19" s="1"/>
  <c r="P67" i="19" s="1"/>
  <c r="E23" i="19"/>
  <c r="J67" i="19" s="1"/>
  <c r="O67" i="19" s="1"/>
  <c r="D23" i="19"/>
  <c r="I67" i="19" s="1"/>
  <c r="N67" i="19" s="1"/>
  <c r="C23" i="19"/>
  <c r="H67" i="19" s="1"/>
  <c r="M67" i="19" s="1"/>
  <c r="G22" i="19"/>
  <c r="L72" i="19" s="1"/>
  <c r="Q72" i="19" s="1"/>
  <c r="F22" i="19"/>
  <c r="K72" i="19" s="1"/>
  <c r="P72" i="19" s="1"/>
  <c r="E22" i="19"/>
  <c r="J72" i="19" s="1"/>
  <c r="O72" i="19" s="1"/>
  <c r="D22" i="19"/>
  <c r="I72" i="19" s="1"/>
  <c r="N72" i="19" s="1"/>
  <c r="C22" i="19"/>
  <c r="H72" i="19" s="1"/>
  <c r="M72" i="19" s="1"/>
  <c r="G21" i="19"/>
  <c r="L44" i="19" s="1"/>
  <c r="Q44" i="19" s="1"/>
  <c r="F21" i="19"/>
  <c r="K44" i="19" s="1"/>
  <c r="P44" i="19" s="1"/>
  <c r="E21" i="19"/>
  <c r="J44" i="19" s="1"/>
  <c r="O44" i="19" s="1"/>
  <c r="D21" i="19"/>
  <c r="I44" i="19" s="1"/>
  <c r="N44" i="19" s="1"/>
  <c r="C21" i="19"/>
  <c r="G20" i="19"/>
  <c r="L76" i="19" s="1"/>
  <c r="Q76" i="19" s="1"/>
  <c r="F20" i="19"/>
  <c r="K76" i="19" s="1"/>
  <c r="P76" i="19" s="1"/>
  <c r="E20" i="19"/>
  <c r="J76" i="19" s="1"/>
  <c r="O76" i="19" s="1"/>
  <c r="D20" i="19"/>
  <c r="I76" i="19" s="1"/>
  <c r="N76" i="19" s="1"/>
  <c r="C20" i="19"/>
  <c r="H62" i="19" s="1"/>
  <c r="M62" i="19" s="1"/>
  <c r="G19" i="19"/>
  <c r="L70" i="19" s="1"/>
  <c r="Q70" i="19" s="1"/>
  <c r="F19" i="19"/>
  <c r="K70" i="19" s="1"/>
  <c r="P70" i="19" s="1"/>
  <c r="E19" i="19"/>
  <c r="J70" i="19" s="1"/>
  <c r="O70" i="19" s="1"/>
  <c r="D19" i="19"/>
  <c r="I70" i="19" s="1"/>
  <c r="N70" i="19" s="1"/>
  <c r="C19" i="19"/>
  <c r="H70" i="19" s="1"/>
  <c r="M70" i="19" s="1"/>
  <c r="G18" i="19"/>
  <c r="L74" i="19" s="1"/>
  <c r="Q74" i="19" s="1"/>
  <c r="F18" i="19"/>
  <c r="K74" i="19" s="1"/>
  <c r="P74" i="19" s="1"/>
  <c r="E18" i="19"/>
  <c r="J74" i="19" s="1"/>
  <c r="O74" i="19" s="1"/>
  <c r="D18" i="19"/>
  <c r="I74" i="19" s="1"/>
  <c r="N74" i="19" s="1"/>
  <c r="C18" i="19"/>
  <c r="H74" i="19" s="1"/>
  <c r="M74" i="19" s="1"/>
  <c r="G17" i="19"/>
  <c r="L46" i="19" s="1"/>
  <c r="Q46" i="19" s="1"/>
  <c r="F17" i="19"/>
  <c r="K46" i="19" s="1"/>
  <c r="P46" i="19" s="1"/>
  <c r="E17" i="19"/>
  <c r="J46" i="19" s="1"/>
  <c r="O46" i="19" s="1"/>
  <c r="D17" i="19"/>
  <c r="I46" i="19" s="1"/>
  <c r="N46" i="19" s="1"/>
  <c r="C17" i="19"/>
  <c r="G16" i="19"/>
  <c r="L36" i="19" s="1"/>
  <c r="Q36" i="19" s="1"/>
  <c r="F16" i="19"/>
  <c r="K36" i="19" s="1"/>
  <c r="P36" i="19" s="1"/>
  <c r="E16" i="19"/>
  <c r="J36" i="19" s="1"/>
  <c r="O36" i="19" s="1"/>
  <c r="D16" i="19"/>
  <c r="I36" i="19" s="1"/>
  <c r="N36" i="19" s="1"/>
  <c r="C16" i="19"/>
  <c r="G15" i="19"/>
  <c r="L35" i="19" s="1"/>
  <c r="Q35" i="19" s="1"/>
  <c r="F15" i="19"/>
  <c r="K35" i="19" s="1"/>
  <c r="P35" i="19" s="1"/>
  <c r="E15" i="19"/>
  <c r="J35" i="19" s="1"/>
  <c r="O35" i="19" s="1"/>
  <c r="D15" i="19"/>
  <c r="I35" i="19" s="1"/>
  <c r="N35" i="19" s="1"/>
  <c r="C15" i="19"/>
  <c r="G14" i="19"/>
  <c r="L77" i="19" s="1"/>
  <c r="Q77" i="19" s="1"/>
  <c r="F14" i="19"/>
  <c r="K77" i="19" s="1"/>
  <c r="P77" i="19" s="1"/>
  <c r="E14" i="19"/>
  <c r="J77" i="19" s="1"/>
  <c r="O77" i="19" s="1"/>
  <c r="D14" i="19"/>
  <c r="I77" i="19" s="1"/>
  <c r="N77" i="19" s="1"/>
  <c r="C14" i="19"/>
  <c r="H77" i="19" s="1"/>
  <c r="M77" i="19" s="1"/>
  <c r="G13" i="19"/>
  <c r="L41" i="19" s="1"/>
  <c r="Q41" i="19" s="1"/>
  <c r="F13" i="19"/>
  <c r="K41" i="19" s="1"/>
  <c r="P41" i="19" s="1"/>
  <c r="E13" i="19"/>
  <c r="J41" i="19" s="1"/>
  <c r="O41" i="19" s="1"/>
  <c r="D13" i="19"/>
  <c r="I41" i="19" s="1"/>
  <c r="N41" i="19" s="1"/>
  <c r="C13" i="19"/>
  <c r="G12" i="19"/>
  <c r="L48" i="19" s="1"/>
  <c r="Q48" i="19" s="1"/>
  <c r="F12" i="19"/>
  <c r="K48" i="19" s="1"/>
  <c r="P48" i="19" s="1"/>
  <c r="E12" i="19"/>
  <c r="J48" i="19" s="1"/>
  <c r="O48" i="19" s="1"/>
  <c r="D12" i="19"/>
  <c r="I48" i="19" s="1"/>
  <c r="N48" i="19" s="1"/>
  <c r="C12" i="19"/>
  <c r="G11" i="19"/>
  <c r="L71" i="19" s="1"/>
  <c r="Q71" i="19" s="1"/>
  <c r="F11" i="19"/>
  <c r="K71" i="19" s="1"/>
  <c r="P71" i="19" s="1"/>
  <c r="E11" i="19"/>
  <c r="J71" i="19" s="1"/>
  <c r="O71" i="19" s="1"/>
  <c r="D11" i="19"/>
  <c r="I71" i="19" s="1"/>
  <c r="N71" i="19" s="1"/>
  <c r="C11" i="19"/>
  <c r="H71" i="19" s="1"/>
  <c r="M71" i="19" s="1"/>
  <c r="G10" i="19"/>
  <c r="L43" i="19" s="1"/>
  <c r="Q43" i="19" s="1"/>
  <c r="F10" i="19"/>
  <c r="K43" i="19" s="1"/>
  <c r="P43" i="19" s="1"/>
  <c r="E10" i="19"/>
  <c r="J43" i="19" s="1"/>
  <c r="O43" i="19" s="1"/>
  <c r="D10" i="19"/>
  <c r="I43" i="19" s="1"/>
  <c r="N43" i="19" s="1"/>
  <c r="C10" i="19"/>
  <c r="G9" i="19"/>
  <c r="L75" i="19" s="1"/>
  <c r="Q75" i="19" s="1"/>
  <c r="F9" i="19"/>
  <c r="E9" i="19"/>
  <c r="J75" i="19" s="1"/>
  <c r="O75" i="19" s="1"/>
  <c r="D9" i="19"/>
  <c r="C9" i="19"/>
  <c r="H75" i="19" s="1"/>
  <c r="M75" i="19" s="1"/>
  <c r="G8" i="19"/>
  <c r="L49" i="19" s="1"/>
  <c r="Q49" i="19" s="1"/>
  <c r="F8" i="19"/>
  <c r="K49" i="19" s="1"/>
  <c r="P49" i="19" s="1"/>
  <c r="E8" i="19"/>
  <c r="J49" i="19" s="1"/>
  <c r="O49" i="19" s="1"/>
  <c r="D8" i="19"/>
  <c r="I49" i="19" s="1"/>
  <c r="N49" i="19" s="1"/>
  <c r="C8" i="19"/>
  <c r="G7" i="19"/>
  <c r="F7" i="19"/>
  <c r="K68" i="19" s="1"/>
  <c r="P68" i="19" s="1"/>
  <c r="E7" i="19"/>
  <c r="D7" i="19"/>
  <c r="I68" i="19" s="1"/>
  <c r="N68" i="19" s="1"/>
  <c r="C7" i="19"/>
  <c r="H68" i="19" s="1"/>
  <c r="M68" i="19" s="1"/>
  <c r="G6" i="19"/>
  <c r="L42" i="19" s="1"/>
  <c r="Q42" i="19" s="1"/>
  <c r="F6" i="19"/>
  <c r="K42" i="19" s="1"/>
  <c r="P42" i="19" s="1"/>
  <c r="E6" i="19"/>
  <c r="J42" i="19" s="1"/>
  <c r="O42" i="19" s="1"/>
  <c r="D6" i="19"/>
  <c r="I42" i="19" s="1"/>
  <c r="N42" i="19" s="1"/>
  <c r="C6" i="19"/>
  <c r="G4" i="19"/>
  <c r="L40" i="19" s="1"/>
  <c r="Q40" i="19" s="1"/>
  <c r="F4" i="19"/>
  <c r="K40" i="19" s="1"/>
  <c r="P40" i="19" s="1"/>
  <c r="E4" i="19"/>
  <c r="J40" i="19" s="1"/>
  <c r="O40" i="19" s="1"/>
  <c r="D4" i="19"/>
  <c r="I40" i="19" s="1"/>
  <c r="N40" i="19" s="1"/>
  <c r="C4" i="19"/>
  <c r="G5" i="19"/>
  <c r="L34" i="19" s="1"/>
  <c r="Q34" i="19" s="1"/>
  <c r="F5" i="19"/>
  <c r="K34" i="19" s="1"/>
  <c r="P34" i="19" s="1"/>
  <c r="E5" i="19"/>
  <c r="J34" i="19" s="1"/>
  <c r="O34" i="19" s="1"/>
  <c r="D5" i="19"/>
  <c r="I34" i="19" s="1"/>
  <c r="N34" i="19" s="1"/>
  <c r="C5" i="19"/>
  <c r="H5" i="19" s="1"/>
  <c r="M5" i="19" s="1"/>
  <c r="J4" i="22" l="1"/>
  <c r="O4" i="22" s="1"/>
  <c r="L10" i="22"/>
  <c r="Q10" i="22" s="1"/>
  <c r="F9" i="21"/>
  <c r="I9" i="21" s="1"/>
  <c r="F21" i="21"/>
  <c r="I21" i="21" s="1"/>
  <c r="F73" i="21"/>
  <c r="I73" i="21" s="1"/>
  <c r="F10" i="21"/>
  <c r="I10" i="21" s="1"/>
  <c r="F22" i="21"/>
  <c r="I22" i="21" s="1"/>
  <c r="F35" i="21"/>
  <c r="I35" i="21" s="1"/>
  <c r="F61" i="21"/>
  <c r="I61" i="21" s="1"/>
  <c r="F74" i="21"/>
  <c r="I74" i="21" s="1"/>
  <c r="F77" i="21"/>
  <c r="I77" i="21" s="1"/>
  <c r="F26" i="21"/>
  <c r="I26" i="21" s="1"/>
  <c r="F53" i="21"/>
  <c r="I53" i="21" s="1"/>
  <c r="F66" i="21"/>
  <c r="I66" i="21" s="1"/>
  <c r="F78" i="21"/>
  <c r="I78" i="21" s="1"/>
  <c r="G4" i="21"/>
  <c r="J4" i="21" s="1"/>
  <c r="F40" i="21"/>
  <c r="I40" i="21" s="1"/>
  <c r="F54" i="21"/>
  <c r="I54" i="21" s="1"/>
  <c r="F55" i="21"/>
  <c r="I55" i="21" s="1"/>
  <c r="F68" i="21"/>
  <c r="I68" i="21" s="1"/>
  <c r="F42" i="21"/>
  <c r="I42" i="21" s="1"/>
  <c r="F56" i="21"/>
  <c r="I56" i="21" s="1"/>
  <c r="F30" i="21"/>
  <c r="I30" i="21" s="1"/>
  <c r="F57" i="21"/>
  <c r="I57" i="21" s="1"/>
  <c r="F70" i="21"/>
  <c r="I70" i="21" s="1"/>
  <c r="F31" i="21"/>
  <c r="I31" i="21" s="1"/>
  <c r="F58" i="21"/>
  <c r="I58" i="21" s="1"/>
  <c r="E16" i="20"/>
  <c r="H16" i="20" s="1"/>
  <c r="E28" i="20"/>
  <c r="H28" i="20" s="1"/>
  <c r="E41" i="20"/>
  <c r="H41" i="20" s="1"/>
  <c r="E55" i="20"/>
  <c r="H55" i="20" s="1"/>
  <c r="E43" i="20"/>
  <c r="H43" i="20" s="1"/>
  <c r="E31" i="20"/>
  <c r="H31" i="20" s="1"/>
  <c r="E44" i="20"/>
  <c r="H44" i="20" s="1"/>
  <c r="E58" i="20"/>
  <c r="H58" i="20" s="1"/>
  <c r="E71" i="20"/>
  <c r="H71" i="20" s="1"/>
  <c r="E8" i="20"/>
  <c r="H8" i="20" s="1"/>
  <c r="E20" i="20"/>
  <c r="H20" i="20" s="1"/>
  <c r="E32" i="20"/>
  <c r="H32" i="20" s="1"/>
  <c r="E59" i="20"/>
  <c r="H59" i="20" s="1"/>
  <c r="E72" i="20"/>
  <c r="H72" i="20" s="1"/>
  <c r="E9" i="20"/>
  <c r="H9" i="20" s="1"/>
  <c r="E60" i="20"/>
  <c r="H60" i="20" s="1"/>
  <c r="E61" i="20"/>
  <c r="H61" i="20" s="1"/>
  <c r="E23" i="20"/>
  <c r="H23" i="20" s="1"/>
  <c r="E62" i="20"/>
  <c r="H62" i="20" s="1"/>
  <c r="E51" i="20"/>
  <c r="H51" i="20" s="1"/>
  <c r="E63" i="20"/>
  <c r="H63" i="20" s="1"/>
  <c r="E52" i="20"/>
  <c r="H52" i="20" s="1"/>
  <c r="E64" i="20"/>
  <c r="H64" i="20" s="1"/>
  <c r="E77" i="20"/>
  <c r="H77" i="20" s="1"/>
  <c r="G4" i="20"/>
  <c r="J4" i="20" s="1"/>
  <c r="L40" i="22"/>
  <c r="Q40" i="22" s="1"/>
  <c r="G8" i="20"/>
  <c r="J8" i="20" s="1"/>
  <c r="J57" i="22"/>
  <c r="O57" i="22" s="1"/>
  <c r="I5" i="22"/>
  <c r="N5" i="22" s="1"/>
  <c r="L61" i="22"/>
  <c r="Q61" i="22" s="1"/>
  <c r="H75" i="22"/>
  <c r="M75" i="22" s="1"/>
  <c r="H8" i="22"/>
  <c r="M8" i="22" s="1"/>
  <c r="F4" i="20"/>
  <c r="I4" i="20" s="1"/>
  <c r="F63" i="20"/>
  <c r="I63" i="20" s="1"/>
  <c r="K6" i="22"/>
  <c r="P6" i="22" s="1"/>
  <c r="I8" i="22"/>
  <c r="N8" i="22" s="1"/>
  <c r="H9" i="22"/>
  <c r="M9" i="22" s="1"/>
  <c r="G14" i="20"/>
  <c r="J14" i="20" s="1"/>
  <c r="K51" i="22"/>
  <c r="P51" i="22" s="1"/>
  <c r="K25" i="22"/>
  <c r="P25" i="22" s="1"/>
  <c r="K44" i="22"/>
  <c r="P44" i="22" s="1"/>
  <c r="K21" i="22"/>
  <c r="P21" i="22" s="1"/>
  <c r="K59" i="22"/>
  <c r="P59" i="22" s="1"/>
  <c r="K31" i="22"/>
  <c r="P31" i="22" s="1"/>
  <c r="K73" i="22"/>
  <c r="P73" i="22" s="1"/>
  <c r="L64" i="22"/>
  <c r="Q64" i="22" s="1"/>
  <c r="L78" i="22"/>
  <c r="Q78" i="22" s="1"/>
  <c r="L29" i="22"/>
  <c r="Q29" i="22" s="1"/>
  <c r="J28" i="22"/>
  <c r="O28" i="22" s="1"/>
  <c r="J38" i="22"/>
  <c r="O38" i="22" s="1"/>
  <c r="J69" i="22"/>
  <c r="O69" i="22" s="1"/>
  <c r="J55" i="22"/>
  <c r="O55" i="22" s="1"/>
  <c r="J26" i="22"/>
  <c r="O26" i="22" s="1"/>
  <c r="J58" i="22"/>
  <c r="O58" i="22" s="1"/>
  <c r="J72" i="22"/>
  <c r="O72" i="22" s="1"/>
  <c r="J22" i="22"/>
  <c r="O22" i="22" s="1"/>
  <c r="K76" i="22"/>
  <c r="P76" i="22" s="1"/>
  <c r="K62" i="22"/>
  <c r="P62" i="22" s="1"/>
  <c r="K20" i="22"/>
  <c r="P20" i="22" s="1"/>
  <c r="J56" i="22"/>
  <c r="O56" i="22" s="1"/>
  <c r="J70" i="22"/>
  <c r="O70" i="22" s="1"/>
  <c r="J19" i="22"/>
  <c r="O19" i="22" s="1"/>
  <c r="J77" i="22"/>
  <c r="O77" i="22" s="1"/>
  <c r="J63" i="22"/>
  <c r="O63" i="22" s="1"/>
  <c r="J14" i="22"/>
  <c r="O14" i="22" s="1"/>
  <c r="I41" i="22"/>
  <c r="N41" i="22" s="1"/>
  <c r="I13" i="22"/>
  <c r="N13" i="22" s="1"/>
  <c r="J17" i="22"/>
  <c r="O17" i="22" s="1"/>
  <c r="I43" i="22"/>
  <c r="N43" i="22" s="1"/>
  <c r="J73" i="22"/>
  <c r="O73" i="22" s="1"/>
  <c r="J59" i="22"/>
  <c r="O59" i="22" s="1"/>
  <c r="K78" i="22"/>
  <c r="P78" i="22" s="1"/>
  <c r="K29" i="22"/>
  <c r="P29" i="22" s="1"/>
  <c r="K64" i="22"/>
  <c r="P64" i="22" s="1"/>
  <c r="I28" i="22"/>
  <c r="N28" i="22" s="1"/>
  <c r="I38" i="22"/>
  <c r="N38" i="22" s="1"/>
  <c r="I55" i="22"/>
  <c r="N55" i="22" s="1"/>
  <c r="I69" i="22"/>
  <c r="N69" i="22" s="1"/>
  <c r="I26" i="22"/>
  <c r="N26" i="22" s="1"/>
  <c r="I72" i="22"/>
  <c r="N72" i="22" s="1"/>
  <c r="I22" i="22"/>
  <c r="N22" i="22" s="1"/>
  <c r="I58" i="22"/>
  <c r="N58" i="22" s="1"/>
  <c r="J62" i="22"/>
  <c r="O62" i="22" s="1"/>
  <c r="J20" i="22"/>
  <c r="O20" i="22" s="1"/>
  <c r="J76" i="22"/>
  <c r="O76" i="22" s="1"/>
  <c r="I19" i="22"/>
  <c r="N19" i="22" s="1"/>
  <c r="I70" i="22"/>
  <c r="N70" i="22" s="1"/>
  <c r="I56" i="22"/>
  <c r="N56" i="22" s="1"/>
  <c r="L60" i="22"/>
  <c r="Q60" i="22" s="1"/>
  <c r="L18" i="22"/>
  <c r="Q18" i="22" s="1"/>
  <c r="L74" i="22"/>
  <c r="Q74" i="22" s="1"/>
  <c r="I63" i="22"/>
  <c r="N63" i="22" s="1"/>
  <c r="I14" i="22"/>
  <c r="N14" i="22" s="1"/>
  <c r="I77" i="22"/>
  <c r="N77" i="22" s="1"/>
  <c r="H13" i="22"/>
  <c r="M13" i="22" s="1"/>
  <c r="H41" i="22"/>
  <c r="M41" i="22" s="1"/>
  <c r="J13" i="22"/>
  <c r="O13" i="22" s="1"/>
  <c r="J48" i="22"/>
  <c r="O48" i="22" s="1"/>
  <c r="L32" i="22"/>
  <c r="Q32" i="22" s="1"/>
  <c r="L37" i="22"/>
  <c r="Q37" i="22" s="1"/>
  <c r="I59" i="22"/>
  <c r="N59" i="22" s="1"/>
  <c r="I31" i="22"/>
  <c r="N31" i="22" s="1"/>
  <c r="I73" i="22"/>
  <c r="N73" i="22" s="1"/>
  <c r="J29" i="22"/>
  <c r="O29" i="22" s="1"/>
  <c r="J78" i="22"/>
  <c r="O78" i="22" s="1"/>
  <c r="J64" i="22"/>
  <c r="O64" i="22" s="1"/>
  <c r="H38" i="22"/>
  <c r="M38" i="22" s="1"/>
  <c r="H28" i="22"/>
  <c r="M28" i="22" s="1"/>
  <c r="H69" i="22"/>
  <c r="M69" i="22" s="1"/>
  <c r="H26" i="22"/>
  <c r="M26" i="22" s="1"/>
  <c r="H55" i="22"/>
  <c r="M55" i="22" s="1"/>
  <c r="H58" i="22"/>
  <c r="M58" i="22" s="1"/>
  <c r="H22" i="22"/>
  <c r="M22" i="22" s="1"/>
  <c r="H72" i="22"/>
  <c r="M72" i="22" s="1"/>
  <c r="I76" i="22"/>
  <c r="N76" i="22" s="1"/>
  <c r="I20" i="22"/>
  <c r="N20" i="22" s="1"/>
  <c r="I62" i="22"/>
  <c r="N62" i="22" s="1"/>
  <c r="H56" i="22"/>
  <c r="M56" i="22" s="1"/>
  <c r="H19" i="22"/>
  <c r="M19" i="22" s="1"/>
  <c r="H70" i="22"/>
  <c r="M70" i="22" s="1"/>
  <c r="K74" i="22"/>
  <c r="P74" i="22" s="1"/>
  <c r="K18" i="22"/>
  <c r="P18" i="22" s="1"/>
  <c r="K60" i="22"/>
  <c r="P60" i="22" s="1"/>
  <c r="H77" i="22"/>
  <c r="M77" i="22" s="1"/>
  <c r="H14" i="22"/>
  <c r="M14" i="22" s="1"/>
  <c r="H63" i="22"/>
  <c r="M63" i="22" s="1"/>
  <c r="L13" i="22"/>
  <c r="Q13" i="22" s="1"/>
  <c r="I61" i="19"/>
  <c r="N61" i="19" s="1"/>
  <c r="I75" i="19"/>
  <c r="N75" i="19" s="1"/>
  <c r="K37" i="22"/>
  <c r="P37" i="22" s="1"/>
  <c r="K32" i="22"/>
  <c r="P32" i="22" s="1"/>
  <c r="H73" i="22"/>
  <c r="M73" i="22" s="1"/>
  <c r="H59" i="22"/>
  <c r="M59" i="22" s="1"/>
  <c r="H31" i="22"/>
  <c r="M31" i="22" s="1"/>
  <c r="I78" i="22"/>
  <c r="N78" i="22" s="1"/>
  <c r="I64" i="22"/>
  <c r="N64" i="22" s="1"/>
  <c r="I29" i="22"/>
  <c r="N29" i="22" s="1"/>
  <c r="L51" i="22"/>
  <c r="Q51" i="22" s="1"/>
  <c r="L25" i="22"/>
  <c r="Q25" i="22" s="1"/>
  <c r="L44" i="22"/>
  <c r="Q44" i="22" s="1"/>
  <c r="L21" i="22"/>
  <c r="Q21" i="22" s="1"/>
  <c r="H20" i="22"/>
  <c r="M20" i="22" s="1"/>
  <c r="H76" i="22"/>
  <c r="M76" i="22" s="1"/>
  <c r="H62" i="22"/>
  <c r="M62" i="22" s="1"/>
  <c r="J60" i="22"/>
  <c r="O60" i="22" s="1"/>
  <c r="J18" i="22"/>
  <c r="O18" i="22" s="1"/>
  <c r="J74" i="22"/>
  <c r="O74" i="22" s="1"/>
  <c r="L36" i="22"/>
  <c r="Q36" i="22" s="1"/>
  <c r="L16" i="22"/>
  <c r="Q16" i="22" s="1"/>
  <c r="K68" i="22"/>
  <c r="P68" i="22" s="1"/>
  <c r="K54" i="22"/>
  <c r="P54" i="22" s="1"/>
  <c r="H4" i="22"/>
  <c r="M4" i="22" s="1"/>
  <c r="J32" i="22"/>
  <c r="O32" i="22" s="1"/>
  <c r="J37" i="22"/>
  <c r="O37" i="22" s="1"/>
  <c r="K48" i="22"/>
  <c r="P48" i="22" s="1"/>
  <c r="K12" i="22"/>
  <c r="P12" i="22" s="1"/>
  <c r="I37" i="22"/>
  <c r="N37" i="22" s="1"/>
  <c r="I32" i="22"/>
  <c r="N32" i="22" s="1"/>
  <c r="K45" i="22"/>
  <c r="P45" i="22" s="1"/>
  <c r="K30" i="22"/>
  <c r="P30" i="22" s="1"/>
  <c r="J51" i="22"/>
  <c r="O51" i="22" s="1"/>
  <c r="J25" i="22"/>
  <c r="O25" i="22" s="1"/>
  <c r="J44" i="22"/>
  <c r="O44" i="22" s="1"/>
  <c r="J21" i="22"/>
  <c r="O21" i="22" s="1"/>
  <c r="H60" i="22"/>
  <c r="M60" i="22" s="1"/>
  <c r="H18" i="22"/>
  <c r="M18" i="22" s="1"/>
  <c r="H74" i="22"/>
  <c r="M74" i="22" s="1"/>
  <c r="J36" i="22"/>
  <c r="O36" i="22" s="1"/>
  <c r="J16" i="22"/>
  <c r="O16" i="22" s="1"/>
  <c r="L15" i="22"/>
  <c r="Q15" i="22" s="1"/>
  <c r="L35" i="22"/>
  <c r="Q35" i="22" s="1"/>
  <c r="K61" i="22"/>
  <c r="P61" i="22" s="1"/>
  <c r="K75" i="22"/>
  <c r="P75" i="22" s="1"/>
  <c r="I68" i="22"/>
  <c r="N68" i="22" s="1"/>
  <c r="I54" i="22"/>
  <c r="N54" i="22" s="1"/>
  <c r="L30" i="22"/>
  <c r="Q30" i="22" s="1"/>
  <c r="L45" i="22"/>
  <c r="Q45" i="22" s="1"/>
  <c r="K61" i="19"/>
  <c r="P61" i="19" s="1"/>
  <c r="K75" i="19"/>
  <c r="P75" i="19" s="1"/>
  <c r="J54" i="19"/>
  <c r="O54" i="19" s="1"/>
  <c r="J68" i="19"/>
  <c r="O68" i="19" s="1"/>
  <c r="H32" i="22"/>
  <c r="M32" i="22" s="1"/>
  <c r="H37" i="22"/>
  <c r="M37" i="22" s="1"/>
  <c r="J30" i="22"/>
  <c r="O30" i="22" s="1"/>
  <c r="J45" i="22"/>
  <c r="O45" i="22" s="1"/>
  <c r="I51" i="22"/>
  <c r="N51" i="22" s="1"/>
  <c r="I25" i="22"/>
  <c r="N25" i="22" s="1"/>
  <c r="I44" i="22"/>
  <c r="N44" i="22" s="1"/>
  <c r="I21" i="22"/>
  <c r="N21" i="22" s="1"/>
  <c r="L46" i="22"/>
  <c r="Q46" i="22" s="1"/>
  <c r="L17" i="22"/>
  <c r="Q17" i="22" s="1"/>
  <c r="I36" i="22"/>
  <c r="N36" i="22" s="1"/>
  <c r="I16" i="22"/>
  <c r="N16" i="22" s="1"/>
  <c r="K35" i="22"/>
  <c r="P35" i="22" s="1"/>
  <c r="K15" i="22"/>
  <c r="P15" i="22" s="1"/>
  <c r="I48" i="22"/>
  <c r="N48" i="22" s="1"/>
  <c r="I12" i="22"/>
  <c r="N12" i="22" s="1"/>
  <c r="J75" i="22"/>
  <c r="O75" i="22" s="1"/>
  <c r="J9" i="22"/>
  <c r="O9" i="22" s="1"/>
  <c r="J61" i="22"/>
  <c r="O61" i="22" s="1"/>
  <c r="K49" i="22"/>
  <c r="P49" i="22" s="1"/>
  <c r="K8" i="22"/>
  <c r="P8" i="22" s="1"/>
  <c r="H54" i="22"/>
  <c r="M54" i="22" s="1"/>
  <c r="H68" i="22"/>
  <c r="M68" i="22" s="1"/>
  <c r="H7" i="22"/>
  <c r="M7" i="22" s="1"/>
  <c r="I74" i="22"/>
  <c r="N74" i="22" s="1"/>
  <c r="I18" i="22"/>
  <c r="N18" i="22" s="1"/>
  <c r="I60" i="22"/>
  <c r="N60" i="22" s="1"/>
  <c r="K36" i="22"/>
  <c r="P36" i="22" s="1"/>
  <c r="K16" i="22"/>
  <c r="P16" i="22" s="1"/>
  <c r="I45" i="22"/>
  <c r="N45" i="22" s="1"/>
  <c r="I30" i="22"/>
  <c r="N30" i="22" s="1"/>
  <c r="L52" i="22"/>
  <c r="Q52" i="22" s="1"/>
  <c r="L27" i="22"/>
  <c r="Q27" i="22" s="1"/>
  <c r="H51" i="22"/>
  <c r="M51" i="22" s="1"/>
  <c r="H25" i="22"/>
  <c r="M25" i="22" s="1"/>
  <c r="L67" i="22"/>
  <c r="Q67" i="22" s="1"/>
  <c r="L53" i="22"/>
  <c r="Q53" i="22" s="1"/>
  <c r="L23" i="22"/>
  <c r="Q23" i="22" s="1"/>
  <c r="H44" i="22"/>
  <c r="M44" i="22" s="1"/>
  <c r="H21" i="22"/>
  <c r="M21" i="22" s="1"/>
  <c r="K17" i="22"/>
  <c r="P17" i="22" s="1"/>
  <c r="K46" i="22"/>
  <c r="P46" i="22" s="1"/>
  <c r="H36" i="22"/>
  <c r="M36" i="22" s="1"/>
  <c r="H16" i="22"/>
  <c r="M16" i="22" s="1"/>
  <c r="J35" i="22"/>
  <c r="O35" i="22" s="1"/>
  <c r="J15" i="22"/>
  <c r="O15" i="22" s="1"/>
  <c r="H12" i="22"/>
  <c r="M12" i="22" s="1"/>
  <c r="H48" i="22"/>
  <c r="M48" i="22" s="1"/>
  <c r="H10" i="22"/>
  <c r="M10" i="22" s="1"/>
  <c r="H43" i="22"/>
  <c r="M43" i="22" s="1"/>
  <c r="I61" i="22"/>
  <c r="N61" i="22" s="1"/>
  <c r="I75" i="22"/>
  <c r="N75" i="22" s="1"/>
  <c r="I9" i="22"/>
  <c r="N9" i="22" s="1"/>
  <c r="J49" i="22"/>
  <c r="O49" i="22" s="1"/>
  <c r="J8" i="22"/>
  <c r="O8" i="22" s="1"/>
  <c r="L42" i="22"/>
  <c r="Q42" i="22" s="1"/>
  <c r="L6" i="22"/>
  <c r="Q6" i="22" s="1"/>
  <c r="J10" i="22"/>
  <c r="O10" i="22" s="1"/>
  <c r="L12" i="22"/>
  <c r="Q12" i="22" s="1"/>
  <c r="H76" i="19"/>
  <c r="M76" i="19" s="1"/>
  <c r="H64" i="22"/>
  <c r="M64" i="22" s="1"/>
  <c r="H29" i="22"/>
  <c r="M29" i="22" s="1"/>
  <c r="H78" i="22"/>
  <c r="M78" i="22" s="1"/>
  <c r="L54" i="19"/>
  <c r="Q54" i="19" s="1"/>
  <c r="L68" i="19"/>
  <c r="Q68" i="19" s="1"/>
  <c r="H30" i="22"/>
  <c r="M30" i="22" s="1"/>
  <c r="H45" i="22"/>
  <c r="M45" i="22" s="1"/>
  <c r="K66" i="22"/>
  <c r="P66" i="22" s="1"/>
  <c r="K52" i="22"/>
  <c r="P52" i="22" s="1"/>
  <c r="K53" i="22"/>
  <c r="P53" i="22" s="1"/>
  <c r="K67" i="22"/>
  <c r="P67" i="22" s="1"/>
  <c r="H35" i="22"/>
  <c r="M35" i="22" s="1"/>
  <c r="J66" i="22"/>
  <c r="O66" i="22" s="1"/>
  <c r="J27" i="22"/>
  <c r="O27" i="22" s="1"/>
  <c r="J52" i="22"/>
  <c r="O52" i="22" s="1"/>
  <c r="K39" i="22"/>
  <c r="P39" i="22" s="1"/>
  <c r="K24" i="22"/>
  <c r="P24" i="22" s="1"/>
  <c r="J67" i="22"/>
  <c r="O67" i="22" s="1"/>
  <c r="J23" i="22"/>
  <c r="O23" i="22" s="1"/>
  <c r="I17" i="22"/>
  <c r="N17" i="22" s="1"/>
  <c r="I46" i="22"/>
  <c r="N46" i="22" s="1"/>
  <c r="H6" i="22"/>
  <c r="M6" i="22" s="1"/>
  <c r="K9" i="22"/>
  <c r="P9" i="22" s="1"/>
  <c r="H39" i="22"/>
  <c r="M39" i="22" s="1"/>
  <c r="L38" i="22"/>
  <c r="Q38" i="22" s="1"/>
  <c r="L28" i="22"/>
  <c r="Q28" i="22" s="1"/>
  <c r="I66" i="22"/>
  <c r="N66" i="22" s="1"/>
  <c r="I27" i="22"/>
  <c r="N27" i="22" s="1"/>
  <c r="I52" i="22"/>
  <c r="N52" i="22" s="1"/>
  <c r="L69" i="22"/>
  <c r="Q69" i="22" s="1"/>
  <c r="L55" i="22"/>
  <c r="Q55" i="22" s="1"/>
  <c r="L26" i="22"/>
  <c r="Q26" i="22" s="1"/>
  <c r="J39" i="22"/>
  <c r="O39" i="22" s="1"/>
  <c r="J24" i="22"/>
  <c r="O24" i="22" s="1"/>
  <c r="I53" i="22"/>
  <c r="N53" i="22" s="1"/>
  <c r="I67" i="22"/>
  <c r="N67" i="22" s="1"/>
  <c r="I23" i="22"/>
  <c r="N23" i="22" s="1"/>
  <c r="L58" i="22"/>
  <c r="Q58" i="22" s="1"/>
  <c r="L72" i="22"/>
  <c r="Q72" i="22" s="1"/>
  <c r="L22" i="22"/>
  <c r="Q22" i="22" s="1"/>
  <c r="L56" i="22"/>
  <c r="Q56" i="22" s="1"/>
  <c r="L19" i="22"/>
  <c r="Q19" i="22" s="1"/>
  <c r="H46" i="22"/>
  <c r="M46" i="22" s="1"/>
  <c r="H17" i="22"/>
  <c r="M17" i="22" s="1"/>
  <c r="L77" i="22"/>
  <c r="Q77" i="22" s="1"/>
  <c r="L63" i="22"/>
  <c r="Q63" i="22" s="1"/>
  <c r="L14" i="22"/>
  <c r="Q14" i="22" s="1"/>
  <c r="K41" i="22"/>
  <c r="P41" i="22" s="1"/>
  <c r="K13" i="22"/>
  <c r="P13" i="22" s="1"/>
  <c r="J6" i="22"/>
  <c r="O6" i="22" s="1"/>
  <c r="L8" i="22"/>
  <c r="Q8" i="22" s="1"/>
  <c r="L24" i="22"/>
  <c r="Q24" i="22" s="1"/>
  <c r="J31" i="22"/>
  <c r="O31" i="22" s="1"/>
  <c r="L73" i="22"/>
  <c r="Q73" i="22" s="1"/>
  <c r="L59" i="22"/>
  <c r="Q59" i="22" s="1"/>
  <c r="L31" i="22"/>
  <c r="Q31" i="22" s="1"/>
  <c r="K28" i="22"/>
  <c r="P28" i="22" s="1"/>
  <c r="K38" i="22"/>
  <c r="P38" i="22" s="1"/>
  <c r="H52" i="22"/>
  <c r="M52" i="22" s="1"/>
  <c r="H66" i="22"/>
  <c r="M66" i="22" s="1"/>
  <c r="H27" i="22"/>
  <c r="M27" i="22" s="1"/>
  <c r="K55" i="22"/>
  <c r="P55" i="22" s="1"/>
  <c r="K26" i="22"/>
  <c r="P26" i="22" s="1"/>
  <c r="K69" i="22"/>
  <c r="P69" i="22" s="1"/>
  <c r="I39" i="22"/>
  <c r="N39" i="22" s="1"/>
  <c r="I24" i="22"/>
  <c r="N24" i="22" s="1"/>
  <c r="H67" i="22"/>
  <c r="M67" i="22" s="1"/>
  <c r="H53" i="22"/>
  <c r="M53" i="22" s="1"/>
  <c r="H23" i="22"/>
  <c r="M23" i="22" s="1"/>
  <c r="K72" i="22"/>
  <c r="P72" i="22" s="1"/>
  <c r="K58" i="22"/>
  <c r="P58" i="22" s="1"/>
  <c r="K22" i="22"/>
  <c r="P22" i="22" s="1"/>
  <c r="L62" i="22"/>
  <c r="Q62" i="22" s="1"/>
  <c r="L76" i="22"/>
  <c r="Q76" i="22" s="1"/>
  <c r="L20" i="22"/>
  <c r="Q20" i="22" s="1"/>
  <c r="K70" i="22"/>
  <c r="P70" i="22" s="1"/>
  <c r="K56" i="22"/>
  <c r="P56" i="22" s="1"/>
  <c r="K19" i="22"/>
  <c r="P19" i="22" s="1"/>
  <c r="K63" i="22"/>
  <c r="P63" i="22" s="1"/>
  <c r="K77" i="22"/>
  <c r="P77" i="22" s="1"/>
  <c r="K57" i="22"/>
  <c r="P57" i="22" s="1"/>
  <c r="K71" i="22"/>
  <c r="P71" i="22" s="1"/>
  <c r="I15" i="22"/>
  <c r="N15" i="22" s="1"/>
  <c r="K23" i="22"/>
  <c r="P23" i="22" s="1"/>
  <c r="L5" i="22"/>
  <c r="Q5" i="22" s="1"/>
  <c r="J11" i="22"/>
  <c r="O11" i="22" s="1"/>
  <c r="I42" i="22"/>
  <c r="N42" i="22" s="1"/>
  <c r="G29" i="20"/>
  <c r="J29" i="20" s="1"/>
  <c r="F78" i="20"/>
  <c r="I78" i="20" s="1"/>
  <c r="F29" i="20"/>
  <c r="I29" i="20" s="1"/>
  <c r="F64" i="20"/>
  <c r="I64" i="20" s="1"/>
  <c r="G17" i="20"/>
  <c r="J17" i="20" s="1"/>
  <c r="F46" i="20"/>
  <c r="I46" i="20" s="1"/>
  <c r="F17" i="20"/>
  <c r="I17" i="20" s="1"/>
  <c r="L11" i="22"/>
  <c r="Q11" i="22" s="1"/>
  <c r="H57" i="22"/>
  <c r="M57" i="22" s="1"/>
  <c r="K34" i="22"/>
  <c r="P34" i="22" s="1"/>
  <c r="I57" i="22"/>
  <c r="N57" i="22" s="1"/>
  <c r="F31" i="20"/>
  <c r="I31" i="20" s="1"/>
  <c r="G31" i="20"/>
  <c r="J31" i="20" s="1"/>
  <c r="F73" i="20"/>
  <c r="I73" i="20" s="1"/>
  <c r="F59" i="20"/>
  <c r="I59" i="20" s="1"/>
  <c r="F62" i="20"/>
  <c r="I62" i="20" s="1"/>
  <c r="F20" i="20"/>
  <c r="I20" i="20" s="1"/>
  <c r="F15" i="20"/>
  <c r="I15" i="20" s="1"/>
  <c r="G15" i="20"/>
  <c r="J15" i="20" s="1"/>
  <c r="F35" i="20"/>
  <c r="I35" i="20" s="1"/>
  <c r="L57" i="22"/>
  <c r="Q57" i="22" s="1"/>
  <c r="I71" i="22"/>
  <c r="N71" i="22" s="1"/>
  <c r="G30" i="20"/>
  <c r="J30" i="20" s="1"/>
  <c r="F45" i="20"/>
  <c r="I45" i="20" s="1"/>
  <c r="G28" i="20"/>
  <c r="J28" i="20" s="1"/>
  <c r="F38" i="20"/>
  <c r="I38" i="20" s="1"/>
  <c r="F28" i="20"/>
  <c r="I28" i="20" s="1"/>
  <c r="F69" i="20"/>
  <c r="I69" i="20" s="1"/>
  <c r="F55" i="20"/>
  <c r="I55" i="20" s="1"/>
  <c r="F26" i="20"/>
  <c r="I26" i="20" s="1"/>
  <c r="F25" i="20"/>
  <c r="I25" i="20" s="1"/>
  <c r="G25" i="20"/>
  <c r="J25" i="20" s="1"/>
  <c r="F44" i="20"/>
  <c r="I44" i="20" s="1"/>
  <c r="G21" i="20"/>
  <c r="J21" i="20" s="1"/>
  <c r="F21" i="20"/>
  <c r="I21" i="20" s="1"/>
  <c r="F16" i="20"/>
  <c r="I16" i="20" s="1"/>
  <c r="G16" i="20"/>
  <c r="J16" i="20" s="1"/>
  <c r="F36" i="20"/>
  <c r="I36" i="20" s="1"/>
  <c r="H5" i="22"/>
  <c r="M5" i="22" s="1"/>
  <c r="J7" i="22"/>
  <c r="O7" i="22" s="1"/>
  <c r="L9" i="22"/>
  <c r="Q9" i="22" s="1"/>
  <c r="K10" i="22"/>
  <c r="P10" i="22" s="1"/>
  <c r="K40" i="22"/>
  <c r="P40" i="22" s="1"/>
  <c r="L54" i="22"/>
  <c r="Q54" i="22" s="1"/>
  <c r="J68" i="22"/>
  <c r="O68" i="22" s="1"/>
  <c r="F39" i="20"/>
  <c r="I39" i="20" s="1"/>
  <c r="G24" i="20"/>
  <c r="J24" i="20" s="1"/>
  <c r="G20" i="20"/>
  <c r="J20" i="20" s="1"/>
  <c r="J5" i="22"/>
  <c r="O5" i="22" s="1"/>
  <c r="L7" i="22"/>
  <c r="Q7" i="22" s="1"/>
  <c r="H11" i="22"/>
  <c r="M11" i="22" s="1"/>
  <c r="F37" i="20"/>
  <c r="I37" i="20" s="1"/>
  <c r="G27" i="20"/>
  <c r="J27" i="20" s="1"/>
  <c r="F66" i="20"/>
  <c r="I66" i="20" s="1"/>
  <c r="F52" i="20"/>
  <c r="I52" i="20" s="1"/>
  <c r="F27" i="20"/>
  <c r="I27" i="20" s="1"/>
  <c r="G23" i="20"/>
  <c r="J23" i="20" s="1"/>
  <c r="F23" i="20"/>
  <c r="I23" i="20" s="1"/>
  <c r="F67" i="20"/>
  <c r="I67" i="20" s="1"/>
  <c r="F53" i="20"/>
  <c r="I53" i="20" s="1"/>
  <c r="F74" i="20"/>
  <c r="I74" i="20" s="1"/>
  <c r="F60" i="20"/>
  <c r="I60" i="20" s="1"/>
  <c r="F18" i="20"/>
  <c r="I18" i="20" s="1"/>
  <c r="G18" i="20"/>
  <c r="J18" i="20" s="1"/>
  <c r="F51" i="20"/>
  <c r="I51" i="20" s="1"/>
  <c r="G32" i="20"/>
  <c r="J32" i="20" s="1"/>
  <c r="F11" i="20"/>
  <c r="I11" i="20" s="1"/>
  <c r="F72" i="20"/>
  <c r="I72" i="20" s="1"/>
  <c r="G6" i="20"/>
  <c r="J6" i="20" s="1"/>
  <c r="G12" i="20"/>
  <c r="J12" i="20" s="1"/>
  <c r="F34" i="20"/>
  <c r="I34" i="20" s="1"/>
  <c r="F22" i="20"/>
  <c r="I22" i="20" s="1"/>
  <c r="F48" i="20"/>
  <c r="I48" i="20" s="1"/>
  <c r="F61" i="20"/>
  <c r="I61" i="20" s="1"/>
  <c r="G7" i="20"/>
  <c r="J7" i="20" s="1"/>
  <c r="G13" i="20"/>
  <c r="J13" i="20" s="1"/>
  <c r="G19" i="20"/>
  <c r="J19" i="20" s="1"/>
  <c r="F49" i="20"/>
  <c r="I49" i="20" s="1"/>
  <c r="F75" i="20"/>
  <c r="I75" i="20" s="1"/>
  <c r="F77" i="20"/>
  <c r="I77" i="20" s="1"/>
  <c r="F5" i="20"/>
  <c r="I5" i="20" s="1"/>
  <c r="G9" i="20"/>
  <c r="J9" i="20" s="1"/>
  <c r="F6" i="20"/>
  <c r="I6" i="20" s="1"/>
  <c r="F40" i="20"/>
  <c r="I40" i="20" s="1"/>
  <c r="F54" i="20"/>
  <c r="I54" i="20" s="1"/>
  <c r="F7" i="20"/>
  <c r="I7" i="20" s="1"/>
  <c r="F19" i="20"/>
  <c r="I19" i="20" s="1"/>
  <c r="F41" i="20"/>
  <c r="I41" i="20" s="1"/>
  <c r="G10" i="20"/>
  <c r="J10" i="20" s="1"/>
  <c r="G22" i="20"/>
  <c r="J22" i="20" s="1"/>
  <c r="F56" i="20"/>
  <c r="I56" i="20" s="1"/>
  <c r="F43" i="20"/>
  <c r="I43" i="20" s="1"/>
  <c r="F57" i="20"/>
  <c r="I57" i="20" s="1"/>
  <c r="G11" i="20"/>
  <c r="J11" i="20" s="1"/>
  <c r="G59" i="20"/>
  <c r="J59" i="20" s="1"/>
  <c r="E50" i="20"/>
  <c r="H50" i="20" s="1"/>
  <c r="G74" i="20"/>
  <c r="J74" i="20" s="1"/>
  <c r="E33" i="20"/>
  <c r="H33" i="20" s="1"/>
  <c r="G69" i="20"/>
  <c r="J69" i="20" s="1"/>
  <c r="G46" i="20"/>
  <c r="J46" i="20" s="1"/>
  <c r="G70" i="20"/>
  <c r="J70" i="20" s="1"/>
  <c r="G42" i="20"/>
  <c r="J42" i="20" s="1"/>
  <c r="E47" i="20"/>
  <c r="H47" i="20" s="1"/>
  <c r="G52" i="20"/>
  <c r="J52" i="20" s="1"/>
  <c r="G62" i="20"/>
  <c r="J62" i="20" s="1"/>
  <c r="G71" i="20"/>
  <c r="J71" i="20" s="1"/>
  <c r="G48" i="20"/>
  <c r="J48" i="20" s="1"/>
  <c r="G58" i="20"/>
  <c r="J58" i="20" s="1"/>
  <c r="G44" i="20"/>
  <c r="J44" i="20" s="1"/>
  <c r="G68" i="20"/>
  <c r="J68" i="20" s="1"/>
  <c r="G54" i="20"/>
  <c r="J54" i="20" s="1"/>
  <c r="G63" i="20"/>
  <c r="J63" i="20" s="1"/>
  <c r="G49" i="20"/>
  <c r="J49" i="20" s="1"/>
  <c r="G73" i="20"/>
  <c r="J73" i="20" s="1"/>
  <c r="G76" i="20"/>
  <c r="J76" i="20" s="1"/>
  <c r="G78" i="20"/>
  <c r="J78" i="20" s="1"/>
  <c r="G5" i="21"/>
  <c r="J5" i="21" s="1"/>
  <c r="G7" i="21"/>
  <c r="J7" i="21" s="1"/>
  <c r="G28" i="21"/>
  <c r="J28" i="21" s="1"/>
  <c r="E38" i="21"/>
  <c r="H38" i="21" s="1"/>
  <c r="E28" i="21"/>
  <c r="H28" i="21" s="1"/>
  <c r="E69" i="21"/>
  <c r="H69" i="21" s="1"/>
  <c r="E55" i="21"/>
  <c r="H55" i="21" s="1"/>
  <c r="G26" i="21"/>
  <c r="J26" i="21" s="1"/>
  <c r="E26" i="21"/>
  <c r="H26" i="21" s="1"/>
  <c r="E72" i="21"/>
  <c r="H72" i="21" s="1"/>
  <c r="E58" i="21"/>
  <c r="H58" i="21" s="1"/>
  <c r="G22" i="21"/>
  <c r="J22" i="21" s="1"/>
  <c r="E22" i="21"/>
  <c r="H22" i="21" s="1"/>
  <c r="E70" i="21"/>
  <c r="H70" i="21" s="1"/>
  <c r="E56" i="21"/>
  <c r="H56" i="21" s="1"/>
  <c r="E19" i="21"/>
  <c r="H19" i="21" s="1"/>
  <c r="G19" i="21"/>
  <c r="J19" i="21" s="1"/>
  <c r="E63" i="21"/>
  <c r="H63" i="21" s="1"/>
  <c r="E77" i="21"/>
  <c r="H77" i="21" s="1"/>
  <c r="G14" i="21"/>
  <c r="J14" i="21" s="1"/>
  <c r="E14" i="21"/>
  <c r="H14" i="21" s="1"/>
  <c r="E57" i="21"/>
  <c r="H57" i="21" s="1"/>
  <c r="E71" i="21"/>
  <c r="H71" i="21" s="1"/>
  <c r="G11" i="21"/>
  <c r="J11" i="21" s="1"/>
  <c r="E11" i="21"/>
  <c r="H11" i="21" s="1"/>
  <c r="E51" i="21"/>
  <c r="H51" i="21" s="1"/>
  <c r="G25" i="21"/>
  <c r="J25" i="21" s="1"/>
  <c r="E25" i="21"/>
  <c r="H25" i="21" s="1"/>
  <c r="E44" i="21"/>
  <c r="H44" i="21" s="1"/>
  <c r="G21" i="21"/>
  <c r="J21" i="21" s="1"/>
  <c r="E21" i="21"/>
  <c r="H21" i="21" s="1"/>
  <c r="E36" i="21"/>
  <c r="H36" i="21" s="1"/>
  <c r="G16" i="21"/>
  <c r="J16" i="21" s="1"/>
  <c r="E16" i="21"/>
  <c r="H16" i="21" s="1"/>
  <c r="E48" i="21"/>
  <c r="H48" i="21" s="1"/>
  <c r="G12" i="21"/>
  <c r="J12" i="21" s="1"/>
  <c r="E12" i="21"/>
  <c r="H12" i="21" s="1"/>
  <c r="E43" i="21"/>
  <c r="H43" i="21" s="1"/>
  <c r="G10" i="21"/>
  <c r="J10" i="21" s="1"/>
  <c r="E39" i="21"/>
  <c r="H39" i="21" s="1"/>
  <c r="G24" i="21"/>
  <c r="J24" i="21" s="1"/>
  <c r="E24" i="21"/>
  <c r="H24" i="21" s="1"/>
  <c r="E10" i="21"/>
  <c r="H10" i="21" s="1"/>
  <c r="E74" i="21"/>
  <c r="H74" i="21" s="1"/>
  <c r="E60" i="21"/>
  <c r="H60" i="21" s="1"/>
  <c r="E18" i="21"/>
  <c r="H18" i="21" s="1"/>
  <c r="G18" i="21"/>
  <c r="J18" i="21" s="1"/>
  <c r="E40" i="21"/>
  <c r="H40" i="21" s="1"/>
  <c r="E4" i="21"/>
  <c r="H4" i="21" s="1"/>
  <c r="E46" i="21"/>
  <c r="H46" i="21" s="1"/>
  <c r="E17" i="21"/>
  <c r="H17" i="21" s="1"/>
  <c r="G17" i="21"/>
  <c r="J17" i="21" s="1"/>
  <c r="E73" i="21"/>
  <c r="H73" i="21" s="1"/>
  <c r="E59" i="21"/>
  <c r="H59" i="21" s="1"/>
  <c r="G31" i="21"/>
  <c r="J31" i="21" s="1"/>
  <c r="E31" i="21"/>
  <c r="H31" i="21" s="1"/>
  <c r="E76" i="21"/>
  <c r="H76" i="21" s="1"/>
  <c r="E62" i="21"/>
  <c r="H62" i="21" s="1"/>
  <c r="G20" i="21"/>
  <c r="J20" i="21" s="1"/>
  <c r="E20" i="21"/>
  <c r="H20" i="21" s="1"/>
  <c r="G30" i="21"/>
  <c r="J30" i="21" s="1"/>
  <c r="E30" i="21"/>
  <c r="H30" i="21" s="1"/>
  <c r="E45" i="21"/>
  <c r="H45" i="21" s="1"/>
  <c r="E75" i="21"/>
  <c r="H75" i="21" s="1"/>
  <c r="E61" i="21"/>
  <c r="H61" i="21" s="1"/>
  <c r="G9" i="21"/>
  <c r="J9" i="21" s="1"/>
  <c r="E9" i="21"/>
  <c r="H9" i="21" s="1"/>
  <c r="E41" i="21"/>
  <c r="H41" i="21" s="1"/>
  <c r="G13" i="21"/>
  <c r="J13" i="21" s="1"/>
  <c r="E13" i="21"/>
  <c r="H13" i="21" s="1"/>
  <c r="E37" i="21"/>
  <c r="H37" i="21" s="1"/>
  <c r="E32" i="21"/>
  <c r="H32" i="21" s="1"/>
  <c r="G32" i="21"/>
  <c r="J32" i="21" s="1"/>
  <c r="E66" i="21"/>
  <c r="H66" i="21" s="1"/>
  <c r="E52" i="21"/>
  <c r="H52" i="21" s="1"/>
  <c r="G27" i="21"/>
  <c r="J27" i="21" s="1"/>
  <c r="E27" i="21"/>
  <c r="H27" i="21" s="1"/>
  <c r="E67" i="21"/>
  <c r="H67" i="21" s="1"/>
  <c r="E53" i="21"/>
  <c r="H53" i="21" s="1"/>
  <c r="G23" i="21"/>
  <c r="J23" i="21" s="1"/>
  <c r="E23" i="21"/>
  <c r="H23" i="21" s="1"/>
  <c r="E42" i="21"/>
  <c r="H42" i="21" s="1"/>
  <c r="G6" i="21"/>
  <c r="J6" i="21" s="1"/>
  <c r="E6" i="21"/>
  <c r="H6" i="21" s="1"/>
  <c r="G29" i="21"/>
  <c r="J29" i="21" s="1"/>
  <c r="E29" i="21"/>
  <c r="H29" i="21" s="1"/>
  <c r="E78" i="21"/>
  <c r="H78" i="21" s="1"/>
  <c r="E64" i="21"/>
  <c r="H64" i="21" s="1"/>
  <c r="E5" i="21"/>
  <c r="H5" i="21" s="1"/>
  <c r="E35" i="21"/>
  <c r="H35" i="21" s="1"/>
  <c r="E15" i="21"/>
  <c r="H15" i="21" s="1"/>
  <c r="G15" i="21"/>
  <c r="J15" i="21" s="1"/>
  <c r="E49" i="21"/>
  <c r="H49" i="21" s="1"/>
  <c r="E8" i="21"/>
  <c r="H8" i="21" s="1"/>
  <c r="E68" i="21"/>
  <c r="H68" i="21" s="1"/>
  <c r="E54" i="21"/>
  <c r="H54" i="21" s="1"/>
  <c r="F65" i="21"/>
  <c r="I65" i="21" s="1"/>
  <c r="G51" i="21"/>
  <c r="J51" i="21" s="1"/>
  <c r="G46" i="21"/>
  <c r="J46" i="21" s="1"/>
  <c r="G60" i="21"/>
  <c r="J60" i="21" s="1"/>
  <c r="G56" i="21"/>
  <c r="J56" i="21" s="1"/>
  <c r="F47" i="21"/>
  <c r="I47" i="21" s="1"/>
  <c r="F33" i="21"/>
  <c r="I33" i="21" s="1"/>
  <c r="G48" i="21"/>
  <c r="J48" i="21" s="1"/>
  <c r="G34" i="21"/>
  <c r="J34" i="21" s="1"/>
  <c r="G43" i="21"/>
  <c r="J43" i="21" s="1"/>
  <c r="G58" i="21"/>
  <c r="J58" i="21" s="1"/>
  <c r="G40" i="21"/>
  <c r="J40" i="21" s="1"/>
  <c r="H47" i="22"/>
  <c r="M47" i="22" s="1"/>
  <c r="L47" i="22"/>
  <c r="Q47" i="22" s="1"/>
  <c r="I62" i="19"/>
  <c r="N62" i="19" s="1"/>
  <c r="J62" i="19"/>
  <c r="O62" i="19" s="1"/>
  <c r="K62" i="19"/>
  <c r="P62" i="19" s="1"/>
  <c r="L62" i="19"/>
  <c r="Q62" i="19" s="1"/>
  <c r="K52" i="19"/>
  <c r="P52" i="19" s="1"/>
  <c r="K63" i="19"/>
  <c r="P63" i="19" s="1"/>
  <c r="I63" i="19"/>
  <c r="N63" i="19" s="1"/>
  <c r="L57" i="19"/>
  <c r="Q57" i="19" s="1"/>
  <c r="J57" i="19"/>
  <c r="O57" i="19" s="1"/>
  <c r="L55" i="19"/>
  <c r="Q55" i="19" s="1"/>
  <c r="J55" i="19"/>
  <c r="O55" i="19" s="1"/>
  <c r="I52" i="19"/>
  <c r="N52" i="19" s="1"/>
  <c r="I64" i="19"/>
  <c r="N64" i="19" s="1"/>
  <c r="J58" i="19"/>
  <c r="O58" i="19" s="1"/>
  <c r="K64" i="19"/>
  <c r="P64" i="19" s="1"/>
  <c r="L58" i="19"/>
  <c r="Q58" i="19" s="1"/>
  <c r="I53" i="19"/>
  <c r="N53" i="19" s="1"/>
  <c r="J59" i="19"/>
  <c r="O59" i="19" s="1"/>
  <c r="K53" i="19"/>
  <c r="P53" i="19" s="1"/>
  <c r="L59" i="19"/>
  <c r="Q59" i="19" s="1"/>
  <c r="I56" i="19"/>
  <c r="N56" i="19" s="1"/>
  <c r="J60" i="19"/>
  <c r="O60" i="19" s="1"/>
  <c r="K56" i="19"/>
  <c r="P56" i="19" s="1"/>
  <c r="L60" i="19"/>
  <c r="Q60" i="19" s="1"/>
  <c r="I54" i="19"/>
  <c r="N54" i="19" s="1"/>
  <c r="J61" i="19"/>
  <c r="O61" i="19" s="1"/>
  <c r="K54" i="19"/>
  <c r="P54" i="19" s="1"/>
  <c r="L61" i="19"/>
  <c r="Q61" i="19" s="1"/>
  <c r="I57" i="19"/>
  <c r="N57" i="19" s="1"/>
  <c r="J63" i="19"/>
  <c r="O63" i="19" s="1"/>
  <c r="K57" i="19"/>
  <c r="P57" i="19" s="1"/>
  <c r="L63" i="19"/>
  <c r="Q63" i="19" s="1"/>
  <c r="I55" i="19"/>
  <c r="N55" i="19" s="1"/>
  <c r="K55" i="19"/>
  <c r="P55" i="19" s="1"/>
  <c r="I58" i="19"/>
  <c r="N58" i="19" s="1"/>
  <c r="J52" i="19"/>
  <c r="O52" i="19" s="1"/>
  <c r="J64" i="19"/>
  <c r="O64" i="19" s="1"/>
  <c r="K58" i="19"/>
  <c r="P58" i="19" s="1"/>
  <c r="L52" i="19"/>
  <c r="Q52" i="19" s="1"/>
  <c r="L64" i="19"/>
  <c r="Q64" i="19" s="1"/>
  <c r="I5" i="19"/>
  <c r="N5" i="19" s="1"/>
  <c r="I59" i="19"/>
  <c r="N59" i="19" s="1"/>
  <c r="J53" i="19"/>
  <c r="O53" i="19" s="1"/>
  <c r="K59" i="19"/>
  <c r="P59" i="19" s="1"/>
  <c r="L53" i="19"/>
  <c r="Q53" i="19" s="1"/>
  <c r="I60" i="19"/>
  <c r="N60" i="19" s="1"/>
  <c r="J56" i="19"/>
  <c r="O56" i="19" s="1"/>
  <c r="K60" i="19"/>
  <c r="P60" i="19" s="1"/>
  <c r="L56" i="19"/>
  <c r="Q56" i="19" s="1"/>
  <c r="G67" i="18"/>
  <c r="J67" i="18" s="1"/>
  <c r="G78" i="18"/>
  <c r="J78" i="18" s="1"/>
  <c r="H4" i="19"/>
  <c r="M4" i="19" s="1"/>
  <c r="I4" i="19"/>
  <c r="N4" i="19" s="1"/>
  <c r="J4" i="19"/>
  <c r="O4" i="19" s="1"/>
  <c r="K4" i="19"/>
  <c r="P4" i="19" s="1"/>
  <c r="L4" i="19"/>
  <c r="Q4" i="19" s="1"/>
  <c r="J5" i="19"/>
  <c r="O5" i="19" s="1"/>
  <c r="K5" i="19"/>
  <c r="P5" i="19" s="1"/>
  <c r="L5" i="19"/>
  <c r="Q5" i="19" s="1"/>
  <c r="I6" i="19"/>
  <c r="N6" i="19" s="1"/>
  <c r="J6" i="19"/>
  <c r="O6" i="19" s="1"/>
  <c r="K6" i="19"/>
  <c r="P6" i="19" s="1"/>
  <c r="L6" i="19"/>
  <c r="Q6" i="19" s="1"/>
  <c r="H7" i="19"/>
  <c r="M7" i="19" s="1"/>
  <c r="I7" i="19"/>
  <c r="N7" i="19" s="1"/>
  <c r="J7" i="19"/>
  <c r="O7" i="19" s="1"/>
  <c r="K7" i="19"/>
  <c r="P7" i="19" s="1"/>
  <c r="L7" i="19"/>
  <c r="Q7" i="19" s="1"/>
  <c r="H8" i="19"/>
  <c r="M8" i="19" s="1"/>
  <c r="I8" i="19"/>
  <c r="N8" i="19" s="1"/>
  <c r="J8" i="19"/>
  <c r="O8" i="19" s="1"/>
  <c r="K8" i="19"/>
  <c r="P8" i="19" s="1"/>
  <c r="L8" i="19"/>
  <c r="Q8" i="19" s="1"/>
  <c r="I9" i="19"/>
  <c r="N9" i="19" s="1"/>
  <c r="J9" i="19"/>
  <c r="O9" i="19" s="1"/>
  <c r="K9" i="19"/>
  <c r="P9" i="19" s="1"/>
  <c r="L9" i="19"/>
  <c r="Q9" i="19" s="1"/>
  <c r="H10" i="19"/>
  <c r="M10" i="19" s="1"/>
  <c r="I10" i="19"/>
  <c r="N10" i="19" s="1"/>
  <c r="J10" i="19"/>
  <c r="O10" i="19" s="1"/>
  <c r="K10" i="19"/>
  <c r="P10" i="19" s="1"/>
  <c r="L10" i="19"/>
  <c r="Q10" i="19" s="1"/>
  <c r="H11" i="19"/>
  <c r="M11" i="19" s="1"/>
  <c r="I11" i="19"/>
  <c r="N11" i="19" s="1"/>
  <c r="J11" i="19"/>
  <c r="O11" i="19" s="1"/>
  <c r="K11" i="19"/>
  <c r="P11" i="19" s="1"/>
  <c r="L11" i="19"/>
  <c r="Q11" i="19" s="1"/>
  <c r="I12" i="19"/>
  <c r="N12" i="19" s="1"/>
  <c r="J12" i="19"/>
  <c r="O12" i="19" s="1"/>
  <c r="K12" i="19"/>
  <c r="P12" i="19" s="1"/>
  <c r="L12" i="19"/>
  <c r="Q12" i="19" s="1"/>
  <c r="I13" i="19"/>
  <c r="N13" i="19" s="1"/>
  <c r="J13" i="19"/>
  <c r="O13" i="19" s="1"/>
  <c r="K13" i="19"/>
  <c r="P13" i="19" s="1"/>
  <c r="L13" i="19"/>
  <c r="Q13" i="19" s="1"/>
  <c r="I14" i="19"/>
  <c r="N14" i="19" s="1"/>
  <c r="J14" i="19"/>
  <c r="O14" i="19" s="1"/>
  <c r="K14" i="19"/>
  <c r="P14" i="19" s="1"/>
  <c r="L14" i="19"/>
  <c r="Q14" i="19" s="1"/>
  <c r="I15" i="19"/>
  <c r="N15" i="19" s="1"/>
  <c r="J15" i="19"/>
  <c r="O15" i="19" s="1"/>
  <c r="K15" i="19"/>
  <c r="P15" i="19" s="1"/>
  <c r="L15" i="19"/>
  <c r="Q15" i="19" s="1"/>
  <c r="I16" i="19"/>
  <c r="N16" i="19" s="1"/>
  <c r="J16" i="19"/>
  <c r="O16" i="19" s="1"/>
  <c r="K16" i="19"/>
  <c r="P16" i="19" s="1"/>
  <c r="L16" i="19"/>
  <c r="Q16" i="19" s="1"/>
  <c r="I17" i="19"/>
  <c r="N17" i="19" s="1"/>
  <c r="J17" i="19"/>
  <c r="O17" i="19" s="1"/>
  <c r="K17" i="19"/>
  <c r="P17" i="19" s="1"/>
  <c r="L17" i="19"/>
  <c r="Q17" i="19" s="1"/>
  <c r="I18" i="19"/>
  <c r="N18" i="19" s="1"/>
  <c r="J18" i="19"/>
  <c r="O18" i="19" s="1"/>
  <c r="K18" i="19"/>
  <c r="P18" i="19" s="1"/>
  <c r="L18" i="19"/>
  <c r="Q18" i="19" s="1"/>
  <c r="I19" i="19"/>
  <c r="N19" i="19" s="1"/>
  <c r="J19" i="19"/>
  <c r="O19" i="19" s="1"/>
  <c r="K19" i="19"/>
  <c r="P19" i="19" s="1"/>
  <c r="L19" i="19"/>
  <c r="Q19" i="19" s="1"/>
  <c r="I20" i="19"/>
  <c r="N20" i="19" s="1"/>
  <c r="J20" i="19"/>
  <c r="O20" i="19" s="1"/>
  <c r="K20" i="19"/>
  <c r="P20" i="19" s="1"/>
  <c r="L20" i="19"/>
  <c r="Q20" i="19" s="1"/>
  <c r="I21" i="19"/>
  <c r="N21" i="19" s="1"/>
  <c r="J21" i="19"/>
  <c r="O21" i="19" s="1"/>
  <c r="K21" i="19"/>
  <c r="P21" i="19" s="1"/>
  <c r="L21" i="19"/>
  <c r="Q21" i="19" s="1"/>
  <c r="I22" i="19"/>
  <c r="N22" i="19" s="1"/>
  <c r="J22" i="19"/>
  <c r="O22" i="19" s="1"/>
  <c r="K22" i="19"/>
  <c r="P22" i="19" s="1"/>
  <c r="L22" i="19"/>
  <c r="Q22" i="19" s="1"/>
  <c r="I23" i="19"/>
  <c r="N23" i="19" s="1"/>
  <c r="J23" i="19"/>
  <c r="O23" i="19" s="1"/>
  <c r="K23" i="19"/>
  <c r="P23" i="19" s="1"/>
  <c r="L23" i="19"/>
  <c r="Q23" i="19" s="1"/>
  <c r="I24" i="19"/>
  <c r="N24" i="19" s="1"/>
  <c r="J24" i="19"/>
  <c r="O24" i="19" s="1"/>
  <c r="K24" i="19"/>
  <c r="P24" i="19" s="1"/>
  <c r="L24" i="19"/>
  <c r="Q24" i="19" s="1"/>
  <c r="I25" i="19"/>
  <c r="N25" i="19" s="1"/>
  <c r="J25" i="19"/>
  <c r="O25" i="19" s="1"/>
  <c r="K25" i="19"/>
  <c r="P25" i="19" s="1"/>
  <c r="L25" i="19"/>
  <c r="Q25" i="19" s="1"/>
  <c r="I26" i="19"/>
  <c r="N26" i="19" s="1"/>
  <c r="J26" i="19"/>
  <c r="O26" i="19" s="1"/>
  <c r="K26" i="19"/>
  <c r="P26" i="19" s="1"/>
  <c r="L26" i="19"/>
  <c r="Q26" i="19" s="1"/>
  <c r="I27" i="19"/>
  <c r="N27" i="19" s="1"/>
  <c r="J27" i="19"/>
  <c r="O27" i="19" s="1"/>
  <c r="K27" i="19"/>
  <c r="P27" i="19" s="1"/>
  <c r="L27" i="19"/>
  <c r="Q27" i="19" s="1"/>
  <c r="I28" i="19"/>
  <c r="N28" i="19" s="1"/>
  <c r="J28" i="19"/>
  <c r="O28" i="19" s="1"/>
  <c r="K28" i="19"/>
  <c r="P28" i="19" s="1"/>
  <c r="L28" i="19"/>
  <c r="Q28" i="19" s="1"/>
  <c r="I29" i="19"/>
  <c r="N29" i="19" s="1"/>
  <c r="J29" i="19"/>
  <c r="O29" i="19" s="1"/>
  <c r="K29" i="19"/>
  <c r="P29" i="19" s="1"/>
  <c r="L29" i="19"/>
  <c r="Q29" i="19" s="1"/>
  <c r="I30" i="19"/>
  <c r="N30" i="19" s="1"/>
  <c r="J30" i="19"/>
  <c r="O30" i="19" s="1"/>
  <c r="K30" i="19"/>
  <c r="P30" i="19" s="1"/>
  <c r="L30" i="19"/>
  <c r="Q30" i="19" s="1"/>
  <c r="I31" i="19"/>
  <c r="N31" i="19" s="1"/>
  <c r="J31" i="19"/>
  <c r="O31" i="19" s="1"/>
  <c r="K31" i="19"/>
  <c r="P31" i="19" s="1"/>
  <c r="L31" i="19"/>
  <c r="Q31" i="19" s="1"/>
  <c r="I32" i="19"/>
  <c r="N32" i="19" s="1"/>
  <c r="J32" i="19"/>
  <c r="O32" i="19" s="1"/>
  <c r="K32" i="19"/>
  <c r="P32" i="19" s="1"/>
  <c r="L32" i="19"/>
  <c r="Q32" i="19" s="1"/>
  <c r="D32" i="18"/>
  <c r="C32" i="18"/>
  <c r="D31" i="18"/>
  <c r="F73" i="18" s="1"/>
  <c r="I73" i="18" s="1"/>
  <c r="C31" i="18"/>
  <c r="E73" i="18" s="1"/>
  <c r="H73" i="18" s="1"/>
  <c r="D30" i="18"/>
  <c r="C30" i="18"/>
  <c r="D29" i="18"/>
  <c r="F78" i="18" s="1"/>
  <c r="I78" i="18" s="1"/>
  <c r="C29" i="18"/>
  <c r="E78" i="18" s="1"/>
  <c r="H78" i="18" s="1"/>
  <c r="D28" i="18"/>
  <c r="C28" i="18"/>
  <c r="D27" i="18"/>
  <c r="F66" i="18" s="1"/>
  <c r="I66" i="18" s="1"/>
  <c r="C27" i="18"/>
  <c r="E66" i="18" s="1"/>
  <c r="H66" i="18" s="1"/>
  <c r="D26" i="18"/>
  <c r="F69" i="18" s="1"/>
  <c r="I69" i="18" s="1"/>
  <c r="C26" i="18"/>
  <c r="E69" i="18" s="1"/>
  <c r="H69" i="18" s="1"/>
  <c r="D25" i="18"/>
  <c r="C25" i="18"/>
  <c r="D24" i="18"/>
  <c r="C24" i="18"/>
  <c r="D23" i="18"/>
  <c r="F67" i="18" s="1"/>
  <c r="I67" i="18" s="1"/>
  <c r="C23" i="18"/>
  <c r="E67" i="18" s="1"/>
  <c r="H67" i="18" s="1"/>
  <c r="D22" i="18"/>
  <c r="F72" i="18" s="1"/>
  <c r="I72" i="18" s="1"/>
  <c r="C22" i="18"/>
  <c r="E72" i="18" s="1"/>
  <c r="H72" i="18" s="1"/>
  <c r="D21" i="18"/>
  <c r="C21" i="18"/>
  <c r="D20" i="18"/>
  <c r="F76" i="18" s="1"/>
  <c r="I76" i="18" s="1"/>
  <c r="C20" i="18"/>
  <c r="E76" i="18" s="1"/>
  <c r="H76" i="18" s="1"/>
  <c r="D19" i="18"/>
  <c r="F70" i="18" s="1"/>
  <c r="I70" i="18" s="1"/>
  <c r="C19" i="18"/>
  <c r="E70" i="18" s="1"/>
  <c r="H70" i="18" s="1"/>
  <c r="D18" i="18"/>
  <c r="F74" i="18" s="1"/>
  <c r="I74" i="18" s="1"/>
  <c r="C18" i="18"/>
  <c r="E74" i="18" s="1"/>
  <c r="H74" i="18" s="1"/>
  <c r="D17" i="18"/>
  <c r="F46" i="18" s="1"/>
  <c r="I46" i="18" s="1"/>
  <c r="C17" i="18"/>
  <c r="D16" i="18"/>
  <c r="C16" i="18"/>
  <c r="D15" i="18"/>
  <c r="C15" i="18"/>
  <c r="D14" i="18"/>
  <c r="F77" i="18" s="1"/>
  <c r="I77" i="18" s="1"/>
  <c r="C14" i="18"/>
  <c r="E77" i="18" s="1"/>
  <c r="H77" i="18" s="1"/>
  <c r="D13" i="18"/>
  <c r="C13" i="18"/>
  <c r="D12" i="18"/>
  <c r="C12" i="18"/>
  <c r="D11" i="18"/>
  <c r="F71" i="18" s="1"/>
  <c r="I71" i="18" s="1"/>
  <c r="C11" i="18"/>
  <c r="E71" i="18" s="1"/>
  <c r="H71" i="18" s="1"/>
  <c r="D10" i="18"/>
  <c r="C10" i="18"/>
  <c r="D9" i="18"/>
  <c r="F75" i="18" s="1"/>
  <c r="I75" i="18" s="1"/>
  <c r="C9" i="18"/>
  <c r="E75" i="18" s="1"/>
  <c r="H75" i="18" s="1"/>
  <c r="D8" i="18"/>
  <c r="F49" i="18" s="1"/>
  <c r="I49" i="18" s="1"/>
  <c r="C8" i="18"/>
  <c r="D7" i="18"/>
  <c r="C7" i="18"/>
  <c r="E68" i="18" s="1"/>
  <c r="H68" i="18" s="1"/>
  <c r="D6" i="18"/>
  <c r="C6" i="18"/>
  <c r="D5" i="18"/>
  <c r="C5" i="18"/>
  <c r="D4" i="18"/>
  <c r="C4" i="18"/>
  <c r="K65" i="22" l="1"/>
  <c r="P65" i="22" s="1"/>
  <c r="K47" i="22"/>
  <c r="P47" i="22" s="1"/>
  <c r="F50" i="21"/>
  <c r="I50" i="21" s="1"/>
  <c r="G36" i="21"/>
  <c r="J36" i="21" s="1"/>
  <c r="G57" i="21"/>
  <c r="J57" i="21" s="1"/>
  <c r="E65" i="20"/>
  <c r="H65" i="20" s="1"/>
  <c r="G61" i="20"/>
  <c r="J61" i="20" s="1"/>
  <c r="G64" i="20"/>
  <c r="J64" i="20" s="1"/>
  <c r="G37" i="20"/>
  <c r="J37" i="20" s="1"/>
  <c r="G35" i="20"/>
  <c r="J35" i="20" s="1"/>
  <c r="G41" i="20"/>
  <c r="J41" i="20" s="1"/>
  <c r="G60" i="20"/>
  <c r="J60" i="20" s="1"/>
  <c r="G71" i="18"/>
  <c r="J71" i="18" s="1"/>
  <c r="G69" i="18"/>
  <c r="J69" i="18" s="1"/>
  <c r="G76" i="18"/>
  <c r="J76" i="18" s="1"/>
  <c r="F7" i="18"/>
  <c r="I7" i="18" s="1"/>
  <c r="F68" i="18"/>
  <c r="I68" i="18" s="1"/>
  <c r="G74" i="18"/>
  <c r="J74" i="18" s="1"/>
  <c r="G72" i="18"/>
  <c r="J72" i="18" s="1"/>
  <c r="G70" i="18"/>
  <c r="J70" i="18" s="1"/>
  <c r="G68" i="18"/>
  <c r="J68" i="18" s="1"/>
  <c r="G66" i="18"/>
  <c r="J66" i="18" s="1"/>
  <c r="G77" i="18"/>
  <c r="J77" i="18" s="1"/>
  <c r="G75" i="18"/>
  <c r="J75" i="18" s="1"/>
  <c r="G73" i="18"/>
  <c r="J73" i="18" s="1"/>
  <c r="G45" i="20"/>
  <c r="J45" i="20" s="1"/>
  <c r="G40" i="20"/>
  <c r="J40" i="20" s="1"/>
  <c r="G75" i="20"/>
  <c r="J75" i="20" s="1"/>
  <c r="G77" i="20"/>
  <c r="J77" i="20" s="1"/>
  <c r="G67" i="20"/>
  <c r="J67" i="20" s="1"/>
  <c r="G56" i="20"/>
  <c r="J56" i="20" s="1"/>
  <c r="H33" i="22"/>
  <c r="M33" i="22" s="1"/>
  <c r="H65" i="22"/>
  <c r="M65" i="22" s="1"/>
  <c r="G57" i="20"/>
  <c r="J57" i="20" s="1"/>
  <c r="I47" i="22"/>
  <c r="N47" i="22" s="1"/>
  <c r="G39" i="21"/>
  <c r="J39" i="21" s="1"/>
  <c r="G45" i="21"/>
  <c r="J45" i="21" s="1"/>
  <c r="G72" i="20"/>
  <c r="J72" i="20" s="1"/>
  <c r="G51" i="20"/>
  <c r="J51" i="20" s="1"/>
  <c r="F50" i="20"/>
  <c r="I50" i="20" s="1"/>
  <c r="G53" i="20"/>
  <c r="J53" i="20" s="1"/>
  <c r="G36" i="20"/>
  <c r="J36" i="20" s="1"/>
  <c r="G43" i="20"/>
  <c r="J43" i="20" s="1"/>
  <c r="G38" i="20"/>
  <c r="J38" i="20" s="1"/>
  <c r="G71" i="21"/>
  <c r="J71" i="21" s="1"/>
  <c r="F65" i="20"/>
  <c r="I65" i="20" s="1"/>
  <c r="G55" i="20"/>
  <c r="J55" i="20" s="1"/>
  <c r="J47" i="22"/>
  <c r="O47" i="22" s="1"/>
  <c r="G66" i="20"/>
  <c r="J66" i="20" s="1"/>
  <c r="H50" i="22"/>
  <c r="M50" i="22" s="1"/>
  <c r="L65" i="22"/>
  <c r="Q65" i="22" s="1"/>
  <c r="G34" i="20"/>
  <c r="J34" i="20" s="1"/>
  <c r="K33" i="22"/>
  <c r="P33" i="22" s="1"/>
  <c r="J33" i="22"/>
  <c r="O33" i="22" s="1"/>
  <c r="J65" i="22"/>
  <c r="O65" i="22" s="1"/>
  <c r="I50" i="22"/>
  <c r="N50" i="22" s="1"/>
  <c r="I33" i="22"/>
  <c r="N33" i="22" s="1"/>
  <c r="L50" i="22"/>
  <c r="Q50" i="22" s="1"/>
  <c r="G39" i="20"/>
  <c r="J39" i="20" s="1"/>
  <c r="F33" i="20"/>
  <c r="I33" i="20" s="1"/>
  <c r="K50" i="22"/>
  <c r="P50" i="22" s="1"/>
  <c r="J50" i="22"/>
  <c r="O50" i="22" s="1"/>
  <c r="L33" i="22"/>
  <c r="Q33" i="22" s="1"/>
  <c r="I65" i="22"/>
  <c r="N65" i="22" s="1"/>
  <c r="F47" i="20"/>
  <c r="I47" i="20" s="1"/>
  <c r="G75" i="21"/>
  <c r="J75" i="21" s="1"/>
  <c r="G76" i="21"/>
  <c r="J76" i="21" s="1"/>
  <c r="G37" i="21"/>
  <c r="J37" i="21" s="1"/>
  <c r="G44" i="21"/>
  <c r="J44" i="21" s="1"/>
  <c r="G42" i="21"/>
  <c r="J42" i="21" s="1"/>
  <c r="G64" i="21"/>
  <c r="J64" i="21" s="1"/>
  <c r="G72" i="21"/>
  <c r="J72" i="21" s="1"/>
  <c r="G68" i="21"/>
  <c r="J68" i="21" s="1"/>
  <c r="G73" i="21"/>
  <c r="J73" i="21" s="1"/>
  <c r="G53" i="21"/>
  <c r="J53" i="21" s="1"/>
  <c r="G66" i="21"/>
  <c r="J66" i="21" s="1"/>
  <c r="G41" i="21"/>
  <c r="J41" i="21" s="1"/>
  <c r="G63" i="21"/>
  <c r="J63" i="21" s="1"/>
  <c r="G38" i="21"/>
  <c r="J38" i="21" s="1"/>
  <c r="G69" i="21"/>
  <c r="J69" i="21" s="1"/>
  <c r="G67" i="21"/>
  <c r="J67" i="21" s="1"/>
  <c r="G78" i="21"/>
  <c r="J78" i="21" s="1"/>
  <c r="G52" i="21"/>
  <c r="J52" i="21" s="1"/>
  <c r="G77" i="21"/>
  <c r="J77" i="21" s="1"/>
  <c r="G55" i="21"/>
  <c r="J55" i="21" s="1"/>
  <c r="G47" i="20"/>
  <c r="J47" i="20" s="1"/>
  <c r="G59" i="21"/>
  <c r="J59" i="21" s="1"/>
  <c r="E33" i="21"/>
  <c r="H33" i="21" s="1"/>
  <c r="G49" i="21"/>
  <c r="J49" i="21" s="1"/>
  <c r="E65" i="21"/>
  <c r="H65" i="21" s="1"/>
  <c r="G54" i="21"/>
  <c r="J54" i="21" s="1"/>
  <c r="G35" i="21"/>
  <c r="J35" i="21" s="1"/>
  <c r="E47" i="21"/>
  <c r="H47" i="21" s="1"/>
  <c r="G61" i="21"/>
  <c r="J61" i="21" s="1"/>
  <c r="G70" i="21"/>
  <c r="J70" i="21" s="1"/>
  <c r="E50" i="21"/>
  <c r="H50" i="21" s="1"/>
  <c r="G62" i="21"/>
  <c r="J62" i="21" s="1"/>
  <c r="G74" i="21"/>
  <c r="J74" i="21" s="1"/>
  <c r="F61" i="18"/>
  <c r="I61" i="18" s="1"/>
  <c r="F9" i="18"/>
  <c r="I9" i="18" s="1"/>
  <c r="F57" i="18"/>
  <c r="I57" i="18" s="1"/>
  <c r="F11" i="18"/>
  <c r="I11" i="18" s="1"/>
  <c r="F63" i="18"/>
  <c r="I63" i="18" s="1"/>
  <c r="F14" i="18"/>
  <c r="I14" i="18" s="1"/>
  <c r="F56" i="18"/>
  <c r="I56" i="18" s="1"/>
  <c r="F19" i="18"/>
  <c r="I19" i="18" s="1"/>
  <c r="F58" i="18"/>
  <c r="I58" i="18" s="1"/>
  <c r="F22" i="18"/>
  <c r="I22" i="18" s="1"/>
  <c r="F55" i="18"/>
  <c r="I55" i="18" s="1"/>
  <c r="F26" i="18"/>
  <c r="I26" i="18" s="1"/>
  <c r="F38" i="18"/>
  <c r="I38" i="18" s="1"/>
  <c r="F28" i="18"/>
  <c r="I28" i="18" s="1"/>
  <c r="F45" i="18"/>
  <c r="I45" i="18" s="1"/>
  <c r="F30" i="18"/>
  <c r="I30" i="18" s="1"/>
  <c r="E49" i="18"/>
  <c r="H49" i="18" s="1"/>
  <c r="E8" i="18"/>
  <c r="H8" i="18" s="1"/>
  <c r="G8" i="18"/>
  <c r="J8" i="18" s="1"/>
  <c r="E35" i="18"/>
  <c r="H35" i="18" s="1"/>
  <c r="E15" i="18"/>
  <c r="H15" i="18" s="1"/>
  <c r="G15" i="18"/>
  <c r="J15" i="18" s="1"/>
  <c r="E62" i="18"/>
  <c r="H62" i="18" s="1"/>
  <c r="G20" i="18"/>
  <c r="J20" i="18" s="1"/>
  <c r="E20" i="18"/>
  <c r="H20" i="18" s="1"/>
  <c r="E61" i="18"/>
  <c r="H61" i="18" s="1"/>
  <c r="G9" i="18"/>
  <c r="J9" i="18" s="1"/>
  <c r="E9" i="18"/>
  <c r="H9" i="18" s="1"/>
  <c r="E57" i="18"/>
  <c r="H57" i="18" s="1"/>
  <c r="G11" i="18"/>
  <c r="J11" i="18" s="1"/>
  <c r="E11" i="18"/>
  <c r="H11" i="18" s="1"/>
  <c r="E63" i="18"/>
  <c r="H63" i="18" s="1"/>
  <c r="E14" i="18"/>
  <c r="H14" i="18" s="1"/>
  <c r="G14" i="18"/>
  <c r="J14" i="18" s="1"/>
  <c r="E56" i="18"/>
  <c r="H56" i="18" s="1"/>
  <c r="E19" i="18"/>
  <c r="H19" i="18" s="1"/>
  <c r="G19" i="18"/>
  <c r="J19" i="18" s="1"/>
  <c r="E22" i="18"/>
  <c r="H22" i="18" s="1"/>
  <c r="E58" i="18"/>
  <c r="H58" i="18" s="1"/>
  <c r="G22" i="18"/>
  <c r="J22" i="18" s="1"/>
  <c r="E26" i="18"/>
  <c r="H26" i="18" s="1"/>
  <c r="E55" i="18"/>
  <c r="H55" i="18" s="1"/>
  <c r="G26" i="18"/>
  <c r="J26" i="18" s="1"/>
  <c r="F35" i="18"/>
  <c r="I35" i="18" s="1"/>
  <c r="F15" i="18"/>
  <c r="I15" i="18" s="1"/>
  <c r="F62" i="18"/>
  <c r="I62" i="18" s="1"/>
  <c r="F20" i="18"/>
  <c r="I20" i="18" s="1"/>
  <c r="E34" i="18"/>
  <c r="H34" i="18" s="1"/>
  <c r="G5" i="18"/>
  <c r="J5" i="18" s="1"/>
  <c r="E5" i="18"/>
  <c r="H5" i="18" s="1"/>
  <c r="F34" i="18"/>
  <c r="I34" i="18" s="1"/>
  <c r="F5" i="18"/>
  <c r="I5" i="18" s="1"/>
  <c r="E40" i="18"/>
  <c r="H40" i="18" s="1"/>
  <c r="G4" i="18"/>
  <c r="J4" i="18" s="1"/>
  <c r="E4" i="18"/>
  <c r="H4" i="18" s="1"/>
  <c r="E42" i="18"/>
  <c r="H42" i="18" s="1"/>
  <c r="E6" i="18"/>
  <c r="H6" i="18" s="1"/>
  <c r="E60" i="18"/>
  <c r="H60" i="18" s="1"/>
  <c r="G18" i="18"/>
  <c r="J18" i="18" s="1"/>
  <c r="E18" i="18"/>
  <c r="H18" i="18" s="1"/>
  <c r="E53" i="18"/>
  <c r="H53" i="18" s="1"/>
  <c r="G23" i="18"/>
  <c r="J23" i="18" s="1"/>
  <c r="E23" i="18"/>
  <c r="H23" i="18" s="1"/>
  <c r="E52" i="18"/>
  <c r="H52" i="18" s="1"/>
  <c r="G27" i="18"/>
  <c r="J27" i="18" s="1"/>
  <c r="E27" i="18"/>
  <c r="H27" i="18" s="1"/>
  <c r="F40" i="18"/>
  <c r="I40" i="18" s="1"/>
  <c r="F4" i="18"/>
  <c r="I4" i="18" s="1"/>
  <c r="F42" i="18"/>
  <c r="I42" i="18" s="1"/>
  <c r="F6" i="18"/>
  <c r="I6" i="18" s="1"/>
  <c r="F60" i="18"/>
  <c r="I60" i="18" s="1"/>
  <c r="F18" i="18"/>
  <c r="I18" i="18" s="1"/>
  <c r="F53" i="18"/>
  <c r="I53" i="18" s="1"/>
  <c r="F23" i="18"/>
  <c r="I23" i="18" s="1"/>
  <c r="F52" i="18"/>
  <c r="I52" i="18" s="1"/>
  <c r="F27" i="18"/>
  <c r="I27" i="18" s="1"/>
  <c r="G6" i="18"/>
  <c r="J6" i="18" s="1"/>
  <c r="F36" i="18"/>
  <c r="I36" i="18" s="1"/>
  <c r="F16" i="18"/>
  <c r="I16" i="18" s="1"/>
  <c r="F44" i="18"/>
  <c r="I44" i="18" s="1"/>
  <c r="F21" i="18"/>
  <c r="I21" i="18" s="1"/>
  <c r="F25" i="18"/>
  <c r="I25" i="18" s="1"/>
  <c r="F51" i="18"/>
  <c r="I51" i="18" s="1"/>
  <c r="E54" i="18"/>
  <c r="H54" i="18" s="1"/>
  <c r="G7" i="18"/>
  <c r="J7" i="18" s="1"/>
  <c r="E7" i="18"/>
  <c r="H7" i="18" s="1"/>
  <c r="E39" i="18"/>
  <c r="H39" i="18" s="1"/>
  <c r="G24" i="18"/>
  <c r="J24" i="18" s="1"/>
  <c r="E24" i="18"/>
  <c r="H24" i="18" s="1"/>
  <c r="E37" i="18"/>
  <c r="H37" i="18" s="1"/>
  <c r="G32" i="18"/>
  <c r="J32" i="18" s="1"/>
  <c r="E32" i="18"/>
  <c r="H32" i="18" s="1"/>
  <c r="F17" i="18"/>
  <c r="I17" i="18" s="1"/>
  <c r="F41" i="18"/>
  <c r="I41" i="18" s="1"/>
  <c r="F13" i="18"/>
  <c r="I13" i="18" s="1"/>
  <c r="F54" i="18"/>
  <c r="I54" i="18" s="1"/>
  <c r="F39" i="18"/>
  <c r="I39" i="18" s="1"/>
  <c r="F24" i="18"/>
  <c r="I24" i="18" s="1"/>
  <c r="F32" i="18"/>
  <c r="I32" i="18" s="1"/>
  <c r="F37" i="18"/>
  <c r="I37" i="18" s="1"/>
  <c r="F8" i="18"/>
  <c r="I8" i="18" s="1"/>
  <c r="F43" i="18"/>
  <c r="I43" i="18" s="1"/>
  <c r="F10" i="18"/>
  <c r="I10" i="18" s="1"/>
  <c r="F48" i="18"/>
  <c r="I48" i="18" s="1"/>
  <c r="F12" i="18"/>
  <c r="I12" i="18" s="1"/>
  <c r="E43" i="18"/>
  <c r="H43" i="18" s="1"/>
  <c r="G10" i="18"/>
  <c r="J10" i="18" s="1"/>
  <c r="E10" i="18"/>
  <c r="H10" i="18" s="1"/>
  <c r="E48" i="18"/>
  <c r="H48" i="18" s="1"/>
  <c r="E12" i="18"/>
  <c r="H12" i="18" s="1"/>
  <c r="E41" i="18"/>
  <c r="H41" i="18" s="1"/>
  <c r="G13" i="18"/>
  <c r="J13" i="18" s="1"/>
  <c r="E13" i="18"/>
  <c r="H13" i="18" s="1"/>
  <c r="E36" i="18"/>
  <c r="H36" i="18" s="1"/>
  <c r="G16" i="18"/>
  <c r="J16" i="18" s="1"/>
  <c r="E16" i="18"/>
  <c r="H16" i="18" s="1"/>
  <c r="G21" i="18"/>
  <c r="J21" i="18" s="1"/>
  <c r="E21" i="18"/>
  <c r="H21" i="18" s="1"/>
  <c r="E44" i="18"/>
  <c r="H44" i="18" s="1"/>
  <c r="E51" i="18"/>
  <c r="H51" i="18" s="1"/>
  <c r="G25" i="18"/>
  <c r="J25" i="18" s="1"/>
  <c r="E25" i="18"/>
  <c r="H25" i="18" s="1"/>
  <c r="E38" i="18"/>
  <c r="H38" i="18" s="1"/>
  <c r="G28" i="18"/>
  <c r="J28" i="18" s="1"/>
  <c r="E28" i="18"/>
  <c r="H28" i="18" s="1"/>
  <c r="G30" i="18"/>
  <c r="J30" i="18" s="1"/>
  <c r="E30" i="18"/>
  <c r="H30" i="18" s="1"/>
  <c r="E45" i="18"/>
  <c r="H45" i="18" s="1"/>
  <c r="E59" i="18"/>
  <c r="H59" i="18" s="1"/>
  <c r="G31" i="18"/>
  <c r="J31" i="18" s="1"/>
  <c r="E31" i="18"/>
  <c r="H31" i="18" s="1"/>
  <c r="F59" i="18"/>
  <c r="I59" i="18" s="1"/>
  <c r="F31" i="18"/>
  <c r="I31" i="18" s="1"/>
  <c r="E46" i="18"/>
  <c r="H46" i="18" s="1"/>
  <c r="E17" i="18"/>
  <c r="H17" i="18" s="1"/>
  <c r="G17" i="18"/>
  <c r="J17" i="18" s="1"/>
  <c r="G29" i="18"/>
  <c r="J29" i="18" s="1"/>
  <c r="E64" i="18"/>
  <c r="H64" i="18" s="1"/>
  <c r="E29" i="18"/>
  <c r="H29" i="18" s="1"/>
  <c r="F29" i="18"/>
  <c r="I29" i="18" s="1"/>
  <c r="F64" i="18"/>
  <c r="I64" i="18" s="1"/>
  <c r="G12" i="18"/>
  <c r="J12" i="18" s="1"/>
  <c r="H30" i="19"/>
  <c r="M30" i="19" s="1"/>
  <c r="H45" i="19"/>
  <c r="M45" i="19" s="1"/>
  <c r="H59" i="19"/>
  <c r="M59" i="19" s="1"/>
  <c r="H31" i="19"/>
  <c r="M31" i="19" s="1"/>
  <c r="H20" i="19"/>
  <c r="M20" i="19" s="1"/>
  <c r="H64" i="19"/>
  <c r="M64" i="19" s="1"/>
  <c r="H29" i="19"/>
  <c r="M29" i="19" s="1"/>
  <c r="H51" i="19"/>
  <c r="M51" i="19" s="1"/>
  <c r="H25" i="19"/>
  <c r="M25" i="19" s="1"/>
  <c r="H44" i="19"/>
  <c r="M44" i="19" s="1"/>
  <c r="H21" i="19"/>
  <c r="M21" i="19" s="1"/>
  <c r="H36" i="19"/>
  <c r="M36" i="19" s="1"/>
  <c r="H16" i="19"/>
  <c r="M16" i="19" s="1"/>
  <c r="H38" i="19"/>
  <c r="M38" i="19" s="1"/>
  <c r="H28" i="19"/>
  <c r="M28" i="19" s="1"/>
  <c r="H55" i="19"/>
  <c r="M55" i="19" s="1"/>
  <c r="H26" i="19"/>
  <c r="M26" i="19" s="1"/>
  <c r="H58" i="19"/>
  <c r="M58" i="19" s="1"/>
  <c r="H22" i="19"/>
  <c r="M22" i="19" s="1"/>
  <c r="H56" i="19"/>
  <c r="M56" i="19" s="1"/>
  <c r="H19" i="19"/>
  <c r="M19" i="19" s="1"/>
  <c r="H48" i="19"/>
  <c r="M48" i="19" s="1"/>
  <c r="H12" i="19"/>
  <c r="M12" i="19" s="1"/>
  <c r="H43" i="19"/>
  <c r="M43" i="19" s="1"/>
  <c r="H61" i="19"/>
  <c r="M61" i="19" s="1"/>
  <c r="H9" i="19"/>
  <c r="M9" i="19" s="1"/>
  <c r="H35" i="19"/>
  <c r="M35" i="19" s="1"/>
  <c r="H15" i="19"/>
  <c r="M15" i="19" s="1"/>
  <c r="H52" i="19"/>
  <c r="M52" i="19" s="1"/>
  <c r="H27" i="19"/>
  <c r="M27" i="19" s="1"/>
  <c r="H53" i="19"/>
  <c r="M53" i="19" s="1"/>
  <c r="H23" i="19"/>
  <c r="M23" i="19" s="1"/>
  <c r="H60" i="19"/>
  <c r="M60" i="19" s="1"/>
  <c r="H18" i="19"/>
  <c r="M18" i="19" s="1"/>
  <c r="H40" i="19"/>
  <c r="M40" i="19" s="1"/>
  <c r="H37" i="19"/>
  <c r="M37" i="19" s="1"/>
  <c r="H32" i="19"/>
  <c r="M32" i="19" s="1"/>
  <c r="H54" i="19"/>
  <c r="M54" i="19" s="1"/>
  <c r="H49" i="19"/>
  <c r="M49" i="19" s="1"/>
  <c r="H46" i="19"/>
  <c r="M46" i="19" s="1"/>
  <c r="H17" i="19"/>
  <c r="M17" i="19" s="1"/>
  <c r="H42" i="19"/>
  <c r="M42" i="19" s="1"/>
  <c r="H39" i="19"/>
  <c r="M39" i="19" s="1"/>
  <c r="H24" i="19"/>
  <c r="M24" i="19" s="1"/>
  <c r="H41" i="19"/>
  <c r="M41" i="19" s="1"/>
  <c r="H13" i="19"/>
  <c r="M13" i="19" s="1"/>
  <c r="H63" i="19"/>
  <c r="M63" i="19" s="1"/>
  <c r="H14" i="19"/>
  <c r="M14" i="19" s="1"/>
  <c r="H57" i="19"/>
  <c r="M57" i="19" s="1"/>
  <c r="H6" i="19"/>
  <c r="M6" i="19" s="1"/>
  <c r="H34" i="19"/>
  <c r="M34" i="19" s="1"/>
  <c r="E65" i="18"/>
  <c r="H65" i="18" s="1"/>
  <c r="G41" i="18"/>
  <c r="J41" i="18" s="1"/>
  <c r="G49" i="18"/>
  <c r="J49" i="18" s="1"/>
  <c r="G58" i="18"/>
  <c r="J58" i="18" s="1"/>
  <c r="D4" i="17"/>
  <c r="D5" i="17"/>
  <c r="D6" i="17"/>
  <c r="D7" i="17"/>
  <c r="F68" i="17" s="1"/>
  <c r="D8" i="17"/>
  <c r="D9" i="17"/>
  <c r="F75" i="17" s="1"/>
  <c r="D10" i="17"/>
  <c r="D11" i="17"/>
  <c r="F71" i="17" s="1"/>
  <c r="D12" i="17"/>
  <c r="D13" i="17"/>
  <c r="D14" i="17"/>
  <c r="F77" i="17" s="1"/>
  <c r="D15" i="17"/>
  <c r="D16" i="17"/>
  <c r="D17" i="17"/>
  <c r="D18" i="17"/>
  <c r="F74" i="17" s="1"/>
  <c r="D19" i="17"/>
  <c r="F70" i="17" s="1"/>
  <c r="D20" i="17"/>
  <c r="F76" i="17" s="1"/>
  <c r="D21" i="17"/>
  <c r="D22" i="17"/>
  <c r="F72" i="17" s="1"/>
  <c r="D23" i="17"/>
  <c r="F67" i="17" s="1"/>
  <c r="D24" i="17"/>
  <c r="D25" i="17"/>
  <c r="D26" i="17"/>
  <c r="F69" i="17" s="1"/>
  <c r="D27" i="17"/>
  <c r="F66" i="17" s="1"/>
  <c r="D28" i="17"/>
  <c r="D29" i="17"/>
  <c r="F78" i="17" s="1"/>
  <c r="D30" i="17"/>
  <c r="D31" i="17"/>
  <c r="F73" i="17" s="1"/>
  <c r="D32" i="17"/>
  <c r="C4" i="17"/>
  <c r="C5" i="17"/>
  <c r="C6" i="17"/>
  <c r="C7" i="17"/>
  <c r="E68" i="17" s="1"/>
  <c r="H68" i="17" s="1"/>
  <c r="C8" i="17"/>
  <c r="C9" i="17"/>
  <c r="E75" i="17" s="1"/>
  <c r="H75" i="17" s="1"/>
  <c r="C10" i="17"/>
  <c r="C11" i="17"/>
  <c r="E71" i="17" s="1"/>
  <c r="H71" i="17" s="1"/>
  <c r="C12" i="17"/>
  <c r="C13" i="17"/>
  <c r="C14" i="17"/>
  <c r="E77" i="17" s="1"/>
  <c r="H77" i="17" s="1"/>
  <c r="C15" i="17"/>
  <c r="C16" i="17"/>
  <c r="C17" i="17"/>
  <c r="C18" i="17"/>
  <c r="E74" i="17" s="1"/>
  <c r="H74" i="17" s="1"/>
  <c r="C19" i="17"/>
  <c r="E70" i="17" s="1"/>
  <c r="H70" i="17" s="1"/>
  <c r="C20" i="17"/>
  <c r="E76" i="17" s="1"/>
  <c r="H76" i="17" s="1"/>
  <c r="C21" i="17"/>
  <c r="C22" i="17"/>
  <c r="E72" i="17" s="1"/>
  <c r="H72" i="17" s="1"/>
  <c r="C23" i="17"/>
  <c r="E67" i="17" s="1"/>
  <c r="H67" i="17" s="1"/>
  <c r="C24" i="17"/>
  <c r="C25" i="17"/>
  <c r="C26" i="17"/>
  <c r="E69" i="17" s="1"/>
  <c r="H69" i="17" s="1"/>
  <c r="C27" i="17"/>
  <c r="E66" i="17" s="1"/>
  <c r="H66" i="17" s="1"/>
  <c r="C28" i="17"/>
  <c r="C29" i="17"/>
  <c r="E78" i="17" s="1"/>
  <c r="H78" i="17" s="1"/>
  <c r="C30" i="17"/>
  <c r="C31" i="17"/>
  <c r="E73" i="17" s="1"/>
  <c r="H73" i="17" s="1"/>
  <c r="C32" i="17"/>
  <c r="G32" i="16"/>
  <c r="F32" i="16"/>
  <c r="E32" i="16"/>
  <c r="D32" i="16"/>
  <c r="C32" i="16"/>
  <c r="G31" i="16"/>
  <c r="F31" i="16"/>
  <c r="E31" i="16"/>
  <c r="D31" i="16"/>
  <c r="C31" i="16"/>
  <c r="G30" i="16"/>
  <c r="F30" i="16"/>
  <c r="E30" i="16"/>
  <c r="D30" i="16"/>
  <c r="C30" i="16"/>
  <c r="G29" i="16"/>
  <c r="F29" i="16"/>
  <c r="E29" i="16"/>
  <c r="D29" i="16"/>
  <c r="C29" i="16"/>
  <c r="G28" i="16"/>
  <c r="F28" i="16"/>
  <c r="E28" i="16"/>
  <c r="D28" i="16"/>
  <c r="C28" i="16"/>
  <c r="G27" i="16"/>
  <c r="F27" i="16"/>
  <c r="E27" i="16"/>
  <c r="D27" i="16"/>
  <c r="C27" i="16"/>
  <c r="G26" i="16"/>
  <c r="F26" i="16"/>
  <c r="E26" i="16"/>
  <c r="D26" i="16"/>
  <c r="C26" i="16"/>
  <c r="G25" i="16"/>
  <c r="F25" i="16"/>
  <c r="E25" i="16"/>
  <c r="D25" i="16"/>
  <c r="C25" i="16"/>
  <c r="G24" i="16"/>
  <c r="F24" i="16"/>
  <c r="E24" i="16"/>
  <c r="D24" i="16"/>
  <c r="C24" i="16"/>
  <c r="G23" i="16"/>
  <c r="F23" i="16"/>
  <c r="E23" i="16"/>
  <c r="D23" i="16"/>
  <c r="C23" i="16"/>
  <c r="G22" i="16"/>
  <c r="F22" i="16"/>
  <c r="E22" i="16"/>
  <c r="D22" i="16"/>
  <c r="C22" i="16"/>
  <c r="G21" i="16"/>
  <c r="F21" i="16"/>
  <c r="E21" i="16"/>
  <c r="D21" i="16"/>
  <c r="C21" i="16"/>
  <c r="G20" i="16"/>
  <c r="F20" i="16"/>
  <c r="E20" i="16"/>
  <c r="D20" i="16"/>
  <c r="C20" i="16"/>
  <c r="G19" i="16"/>
  <c r="F19" i="16"/>
  <c r="E19" i="16"/>
  <c r="D19" i="16"/>
  <c r="C19" i="16"/>
  <c r="G18" i="16"/>
  <c r="F18" i="16"/>
  <c r="E18" i="16"/>
  <c r="D18" i="16"/>
  <c r="C18" i="16"/>
  <c r="G17" i="16"/>
  <c r="F17" i="16"/>
  <c r="E17" i="16"/>
  <c r="D17" i="16"/>
  <c r="C17" i="16"/>
  <c r="G16" i="16"/>
  <c r="F16" i="16"/>
  <c r="E16" i="16"/>
  <c r="D16" i="16"/>
  <c r="C16" i="16"/>
  <c r="G15" i="16"/>
  <c r="F15" i="16"/>
  <c r="E15" i="16"/>
  <c r="D15" i="16"/>
  <c r="C15" i="16"/>
  <c r="G14" i="16"/>
  <c r="F14" i="16"/>
  <c r="E14" i="16"/>
  <c r="D14" i="16"/>
  <c r="C14" i="16"/>
  <c r="G13" i="16"/>
  <c r="F13" i="16"/>
  <c r="E13" i="16"/>
  <c r="D13" i="16"/>
  <c r="C13" i="16"/>
  <c r="G12" i="16"/>
  <c r="F12" i="16"/>
  <c r="E12" i="16"/>
  <c r="D12" i="16"/>
  <c r="C12" i="16"/>
  <c r="G11" i="16"/>
  <c r="F11" i="16"/>
  <c r="E11" i="16"/>
  <c r="D11" i="16"/>
  <c r="C11" i="16"/>
  <c r="G10" i="16"/>
  <c r="F10" i="16"/>
  <c r="E10" i="16"/>
  <c r="D10" i="16"/>
  <c r="C10" i="16"/>
  <c r="G9" i="16"/>
  <c r="F9" i="16"/>
  <c r="E9" i="16"/>
  <c r="D9" i="16"/>
  <c r="C9" i="16"/>
  <c r="G8" i="16"/>
  <c r="F8" i="16"/>
  <c r="E8" i="16"/>
  <c r="D8" i="16"/>
  <c r="C8" i="16"/>
  <c r="G7" i="16"/>
  <c r="F7" i="16"/>
  <c r="E7" i="16"/>
  <c r="D7" i="16"/>
  <c r="C7" i="16"/>
  <c r="G6" i="16"/>
  <c r="F6" i="16"/>
  <c r="E6" i="16"/>
  <c r="D6" i="16"/>
  <c r="C6" i="16"/>
  <c r="G4" i="16"/>
  <c r="F4" i="16"/>
  <c r="E4" i="16"/>
  <c r="D4" i="16"/>
  <c r="C4" i="16"/>
  <c r="G5" i="16"/>
  <c r="F5" i="16"/>
  <c r="E5" i="16"/>
  <c r="D5" i="16"/>
  <c r="C5" i="16"/>
  <c r="G32" i="13"/>
  <c r="F32" i="13"/>
  <c r="E32" i="13"/>
  <c r="D32" i="13"/>
  <c r="C32" i="13"/>
  <c r="G31" i="13"/>
  <c r="F31" i="13"/>
  <c r="E31" i="13"/>
  <c r="D31" i="13"/>
  <c r="C31" i="13"/>
  <c r="G30" i="13"/>
  <c r="F30" i="13"/>
  <c r="E30" i="13"/>
  <c r="D30" i="13"/>
  <c r="C30" i="13"/>
  <c r="G29" i="13"/>
  <c r="F29" i="13"/>
  <c r="E29" i="13"/>
  <c r="D29" i="13"/>
  <c r="C29" i="13"/>
  <c r="G28" i="13"/>
  <c r="F28" i="13"/>
  <c r="E28" i="13"/>
  <c r="D28" i="13"/>
  <c r="C28" i="13"/>
  <c r="G27" i="13"/>
  <c r="F27" i="13"/>
  <c r="E27" i="13"/>
  <c r="D27" i="13"/>
  <c r="C27" i="13"/>
  <c r="G26" i="13"/>
  <c r="F26" i="13"/>
  <c r="E26" i="13"/>
  <c r="D26" i="13"/>
  <c r="C26" i="13"/>
  <c r="G25" i="13"/>
  <c r="F25" i="13"/>
  <c r="E25" i="13"/>
  <c r="D25" i="13"/>
  <c r="C25" i="13"/>
  <c r="G24" i="13"/>
  <c r="F24" i="13"/>
  <c r="E24" i="13"/>
  <c r="D24" i="13"/>
  <c r="C24" i="13"/>
  <c r="G23" i="13"/>
  <c r="F23" i="13"/>
  <c r="E23" i="13"/>
  <c r="D23" i="13"/>
  <c r="C23" i="13"/>
  <c r="G22" i="13"/>
  <c r="F22" i="13"/>
  <c r="E22" i="13"/>
  <c r="D22" i="13"/>
  <c r="C22" i="13"/>
  <c r="G21" i="13"/>
  <c r="F21" i="13"/>
  <c r="E21" i="13"/>
  <c r="D21" i="13"/>
  <c r="C21" i="13"/>
  <c r="G20" i="13"/>
  <c r="F20" i="13"/>
  <c r="E20" i="13"/>
  <c r="D20" i="13"/>
  <c r="C20" i="13"/>
  <c r="G19" i="13"/>
  <c r="F19" i="13"/>
  <c r="E19" i="13"/>
  <c r="D19" i="13"/>
  <c r="C19" i="13"/>
  <c r="G18" i="13"/>
  <c r="F18" i="13"/>
  <c r="E18" i="13"/>
  <c r="D18" i="13"/>
  <c r="C18" i="13"/>
  <c r="G17" i="13"/>
  <c r="F17" i="13"/>
  <c r="E17" i="13"/>
  <c r="D17" i="13"/>
  <c r="C17" i="13"/>
  <c r="G16" i="13"/>
  <c r="F16" i="13"/>
  <c r="E16" i="13"/>
  <c r="D16" i="13"/>
  <c r="C16" i="13"/>
  <c r="G15" i="13"/>
  <c r="F15" i="13"/>
  <c r="E15" i="13"/>
  <c r="D15" i="13"/>
  <c r="C15" i="13"/>
  <c r="G14" i="13"/>
  <c r="F14" i="13"/>
  <c r="E14" i="13"/>
  <c r="D14" i="13"/>
  <c r="C14" i="13"/>
  <c r="G13" i="13"/>
  <c r="F13" i="13"/>
  <c r="E13" i="13"/>
  <c r="D13" i="13"/>
  <c r="C13" i="13"/>
  <c r="G12" i="13"/>
  <c r="F12" i="13"/>
  <c r="E12" i="13"/>
  <c r="D12" i="13"/>
  <c r="C12" i="13"/>
  <c r="G11" i="13"/>
  <c r="F11" i="13"/>
  <c r="E11" i="13"/>
  <c r="D11" i="13"/>
  <c r="C11" i="13"/>
  <c r="G10" i="13"/>
  <c r="F10" i="13"/>
  <c r="E10" i="13"/>
  <c r="D10" i="13"/>
  <c r="C10" i="13"/>
  <c r="G9" i="13"/>
  <c r="F9" i="13"/>
  <c r="E9" i="13"/>
  <c r="D9" i="13"/>
  <c r="C9" i="13"/>
  <c r="G8" i="13"/>
  <c r="F8" i="13"/>
  <c r="E8" i="13"/>
  <c r="D8" i="13"/>
  <c r="C8" i="13"/>
  <c r="G7" i="13"/>
  <c r="F7" i="13"/>
  <c r="E7" i="13"/>
  <c r="D7" i="13"/>
  <c r="C7" i="13"/>
  <c r="G6" i="13"/>
  <c r="F6" i="13"/>
  <c r="E6" i="13"/>
  <c r="D6" i="13"/>
  <c r="C6" i="13"/>
  <c r="G4" i="13"/>
  <c r="F4" i="13"/>
  <c r="E4" i="13"/>
  <c r="D4" i="13"/>
  <c r="C4" i="13"/>
  <c r="G5" i="13"/>
  <c r="F5" i="13"/>
  <c r="E5" i="13"/>
  <c r="D5" i="13"/>
  <c r="C5" i="13"/>
  <c r="E23" i="6" a="1"/>
  <c r="E23" i="6" s="1"/>
  <c r="G45" i="18" l="1"/>
  <c r="J45" i="18" s="1"/>
  <c r="G65" i="20"/>
  <c r="J65" i="20" s="1"/>
  <c r="G50" i="20"/>
  <c r="J50" i="20" s="1"/>
  <c r="G46" i="18"/>
  <c r="J46" i="18" s="1"/>
  <c r="G33" i="20"/>
  <c r="J33" i="20" s="1"/>
  <c r="F43" i="16"/>
  <c r="P10" i="16"/>
  <c r="K10" i="16"/>
  <c r="E40" i="13"/>
  <c r="O4" i="13"/>
  <c r="J4" i="13"/>
  <c r="D42" i="13"/>
  <c r="R42" i="13" s="1"/>
  <c r="N6" i="13"/>
  <c r="I6" i="13"/>
  <c r="Q11" i="13"/>
  <c r="L11" i="13"/>
  <c r="F41" i="13"/>
  <c r="P13" i="13"/>
  <c r="K13" i="13"/>
  <c r="Q14" i="13"/>
  <c r="L14" i="13"/>
  <c r="Q22" i="13"/>
  <c r="L22" i="13"/>
  <c r="N27" i="13"/>
  <c r="I27" i="13"/>
  <c r="G38" i="13"/>
  <c r="Q28" i="13"/>
  <c r="L28" i="13"/>
  <c r="M7" i="16"/>
  <c r="H7" i="16"/>
  <c r="F49" i="16"/>
  <c r="P8" i="16"/>
  <c r="K8" i="16"/>
  <c r="O9" i="16"/>
  <c r="J9" i="16"/>
  <c r="D43" i="16"/>
  <c r="R43" i="16" s="1"/>
  <c r="N10" i="16"/>
  <c r="I10" i="16"/>
  <c r="D48" i="16"/>
  <c r="N12" i="16"/>
  <c r="I12" i="16"/>
  <c r="C46" i="13"/>
  <c r="M17" i="13"/>
  <c r="H17" i="13"/>
  <c r="Q19" i="13"/>
  <c r="L19" i="13"/>
  <c r="N23" i="13"/>
  <c r="I23" i="13"/>
  <c r="E39" i="13"/>
  <c r="O24" i="13"/>
  <c r="J24" i="13"/>
  <c r="Q26" i="13"/>
  <c r="L26" i="13"/>
  <c r="F40" i="13"/>
  <c r="P4" i="13"/>
  <c r="K4" i="13"/>
  <c r="E42" i="13"/>
  <c r="O6" i="13"/>
  <c r="J6" i="13"/>
  <c r="C49" i="13"/>
  <c r="M8" i="13"/>
  <c r="H8" i="13"/>
  <c r="C45" i="13"/>
  <c r="M30" i="13"/>
  <c r="H30" i="13"/>
  <c r="F48" i="16"/>
  <c r="P12" i="16"/>
  <c r="K12" i="16"/>
  <c r="G42" i="13"/>
  <c r="Q6" i="13"/>
  <c r="L6" i="13"/>
  <c r="E49" i="13"/>
  <c r="O8" i="13"/>
  <c r="J8" i="13"/>
  <c r="N9" i="13"/>
  <c r="I9" i="13"/>
  <c r="C43" i="13"/>
  <c r="M10" i="13"/>
  <c r="H10" i="13"/>
  <c r="C48" i="13"/>
  <c r="M12" i="13"/>
  <c r="H12" i="13"/>
  <c r="G39" i="13"/>
  <c r="Q24" i="13"/>
  <c r="L24" i="13"/>
  <c r="O9" i="13"/>
  <c r="J9" i="13"/>
  <c r="D48" i="13"/>
  <c r="N12" i="13"/>
  <c r="I12" i="13"/>
  <c r="F35" i="13"/>
  <c r="P15" i="13"/>
  <c r="K15" i="13"/>
  <c r="G40" i="13"/>
  <c r="Q4" i="13"/>
  <c r="L4" i="13"/>
  <c r="O7" i="16"/>
  <c r="J7" i="16"/>
  <c r="P9" i="13"/>
  <c r="K9" i="13"/>
  <c r="E43" i="13"/>
  <c r="O10" i="13"/>
  <c r="J10" i="13"/>
  <c r="E48" i="13"/>
  <c r="O12" i="13"/>
  <c r="J12" i="13"/>
  <c r="G35" i="13"/>
  <c r="Q15" i="13"/>
  <c r="L15" i="13"/>
  <c r="Q9" i="16"/>
  <c r="L9" i="16"/>
  <c r="F49" i="13"/>
  <c r="P8" i="13"/>
  <c r="K8" i="13"/>
  <c r="D43" i="13"/>
  <c r="R43" i="13" s="1"/>
  <c r="N10" i="13"/>
  <c r="I10" i="13"/>
  <c r="O7" i="13"/>
  <c r="J7" i="13"/>
  <c r="Q9" i="13"/>
  <c r="L9" i="13"/>
  <c r="F43" i="13"/>
  <c r="P10" i="13"/>
  <c r="K10" i="13"/>
  <c r="F48" i="13"/>
  <c r="P12" i="13"/>
  <c r="K12" i="13"/>
  <c r="F42" i="13"/>
  <c r="P6" i="13"/>
  <c r="K6" i="13"/>
  <c r="D49" i="13"/>
  <c r="R49" i="13" s="1"/>
  <c r="N8" i="13"/>
  <c r="I8" i="13"/>
  <c r="D35" i="13"/>
  <c r="R35" i="13" s="1"/>
  <c r="N15" i="13"/>
  <c r="I15" i="13"/>
  <c r="E46" i="13"/>
  <c r="O17" i="13"/>
  <c r="J17" i="13"/>
  <c r="G48" i="13"/>
  <c r="Q12" i="13"/>
  <c r="L12" i="13"/>
  <c r="M7" i="13"/>
  <c r="H7" i="13"/>
  <c r="N7" i="13"/>
  <c r="I7" i="13"/>
  <c r="C34" i="13"/>
  <c r="M5" i="13"/>
  <c r="H5" i="13"/>
  <c r="P7" i="13"/>
  <c r="K7" i="13"/>
  <c r="D34" i="13"/>
  <c r="N5" i="13"/>
  <c r="I5" i="13"/>
  <c r="Q7" i="13"/>
  <c r="L7" i="13"/>
  <c r="M11" i="13"/>
  <c r="H11" i="13"/>
  <c r="G49" i="13"/>
  <c r="Q8" i="13"/>
  <c r="L8" i="13"/>
  <c r="G43" i="13"/>
  <c r="Q10" i="13"/>
  <c r="L10" i="13"/>
  <c r="C41" i="13"/>
  <c r="M13" i="13"/>
  <c r="H13" i="13"/>
  <c r="N14" i="13"/>
  <c r="I14" i="13"/>
  <c r="P23" i="13"/>
  <c r="K23" i="13"/>
  <c r="E34" i="13"/>
  <c r="O5" i="13"/>
  <c r="J5" i="13"/>
  <c r="N11" i="13"/>
  <c r="I11" i="13"/>
  <c r="F34" i="13"/>
  <c r="P5" i="13"/>
  <c r="K5" i="13"/>
  <c r="C40" i="13"/>
  <c r="M4" i="13"/>
  <c r="H4" i="13"/>
  <c r="O11" i="13"/>
  <c r="J11" i="13"/>
  <c r="M9" i="13"/>
  <c r="H9" i="13"/>
  <c r="P27" i="13"/>
  <c r="K27" i="13"/>
  <c r="G34" i="13"/>
  <c r="Q5" i="13"/>
  <c r="L5" i="13"/>
  <c r="D40" i="13"/>
  <c r="R40" i="13" s="1"/>
  <c r="N4" i="13"/>
  <c r="I4" i="13"/>
  <c r="C42" i="13"/>
  <c r="M6" i="13"/>
  <c r="H6" i="13"/>
  <c r="P11" i="13"/>
  <c r="K11" i="13"/>
  <c r="E41" i="13"/>
  <c r="O13" i="13"/>
  <c r="J13" i="13"/>
  <c r="P14" i="13"/>
  <c r="K14" i="13"/>
  <c r="F35" i="16"/>
  <c r="P15" i="16"/>
  <c r="K15" i="16"/>
  <c r="D36" i="16"/>
  <c r="R36" i="16" s="1"/>
  <c r="N16" i="16"/>
  <c r="I16" i="16"/>
  <c r="G46" i="16"/>
  <c r="Q17" i="16"/>
  <c r="L17" i="16"/>
  <c r="D44" i="16"/>
  <c r="R44" i="16" s="1"/>
  <c r="N21" i="16"/>
  <c r="I21" i="16"/>
  <c r="D51" i="16"/>
  <c r="R51" i="16" s="1"/>
  <c r="N25" i="16"/>
  <c r="I25" i="16"/>
  <c r="E45" i="16"/>
  <c r="O30" i="16"/>
  <c r="J30" i="16"/>
  <c r="C37" i="16"/>
  <c r="M32" i="16"/>
  <c r="H32" i="16"/>
  <c r="I78" i="17"/>
  <c r="G78" i="17"/>
  <c r="J78" i="17" s="1"/>
  <c r="G41" i="13"/>
  <c r="Q13" i="13"/>
  <c r="L13" i="13"/>
  <c r="C35" i="13"/>
  <c r="M15" i="13"/>
  <c r="H15" i="13"/>
  <c r="D46" i="13"/>
  <c r="R46" i="13" s="1"/>
  <c r="N17" i="13"/>
  <c r="I17" i="13"/>
  <c r="O23" i="13"/>
  <c r="J23" i="13"/>
  <c r="F39" i="13"/>
  <c r="P24" i="13"/>
  <c r="K24" i="13"/>
  <c r="O27" i="13"/>
  <c r="J27" i="13"/>
  <c r="N7" i="16"/>
  <c r="I7" i="16"/>
  <c r="G49" i="16"/>
  <c r="Q8" i="16"/>
  <c r="L8" i="16"/>
  <c r="P9" i="16"/>
  <c r="K9" i="16"/>
  <c r="E43" i="16"/>
  <c r="O10" i="16"/>
  <c r="J10" i="16"/>
  <c r="E48" i="16"/>
  <c r="O12" i="16"/>
  <c r="J12" i="16"/>
  <c r="E35" i="13"/>
  <c r="O15" i="13"/>
  <c r="J15" i="13"/>
  <c r="C36" i="13"/>
  <c r="M16" i="13"/>
  <c r="H16" i="13"/>
  <c r="F46" i="13"/>
  <c r="P17" i="13"/>
  <c r="K17" i="13"/>
  <c r="C44" i="13"/>
  <c r="M21" i="13"/>
  <c r="H21" i="13"/>
  <c r="Q23" i="13"/>
  <c r="L23" i="13"/>
  <c r="C51" i="13"/>
  <c r="M25" i="13"/>
  <c r="H25" i="13"/>
  <c r="Q27" i="13"/>
  <c r="L27" i="13"/>
  <c r="D45" i="13"/>
  <c r="R45" i="13" s="1"/>
  <c r="N30" i="13"/>
  <c r="I30" i="13"/>
  <c r="C34" i="16"/>
  <c r="M5" i="16"/>
  <c r="H5" i="16"/>
  <c r="P7" i="16"/>
  <c r="K7" i="16"/>
  <c r="G43" i="16"/>
  <c r="Q10" i="16"/>
  <c r="L10" i="16"/>
  <c r="G48" i="16"/>
  <c r="Q12" i="16"/>
  <c r="L12" i="16"/>
  <c r="D36" i="13"/>
  <c r="R36" i="13" s="1"/>
  <c r="N16" i="13"/>
  <c r="I16" i="13"/>
  <c r="G46" i="13"/>
  <c r="Q17" i="13"/>
  <c r="L17" i="13"/>
  <c r="D44" i="13"/>
  <c r="R44" i="13" s="1"/>
  <c r="N21" i="13"/>
  <c r="I21" i="13"/>
  <c r="D51" i="13"/>
  <c r="R51" i="13" s="1"/>
  <c r="N25" i="13"/>
  <c r="I25" i="13"/>
  <c r="E45" i="13"/>
  <c r="O30" i="13"/>
  <c r="J30" i="13"/>
  <c r="C37" i="13"/>
  <c r="M32" i="13"/>
  <c r="H32" i="13"/>
  <c r="D34" i="16"/>
  <c r="N5" i="16"/>
  <c r="I5" i="16"/>
  <c r="Q7" i="16"/>
  <c r="L7" i="16"/>
  <c r="M11" i="16"/>
  <c r="H11" i="16"/>
  <c r="M14" i="16"/>
  <c r="H14" i="16"/>
  <c r="E36" i="13"/>
  <c r="O16" i="13"/>
  <c r="J16" i="13"/>
  <c r="M18" i="13"/>
  <c r="H18" i="13"/>
  <c r="E44" i="13"/>
  <c r="O21" i="13"/>
  <c r="J21" i="13"/>
  <c r="E51" i="13"/>
  <c r="O25" i="13"/>
  <c r="J25" i="13"/>
  <c r="F45" i="13"/>
  <c r="P30" i="13"/>
  <c r="K30" i="13"/>
  <c r="D37" i="13"/>
  <c r="R37" i="13" s="1"/>
  <c r="N32" i="13"/>
  <c r="I32" i="13"/>
  <c r="E34" i="16"/>
  <c r="O5" i="16"/>
  <c r="J5" i="16"/>
  <c r="N11" i="16"/>
  <c r="I11" i="16"/>
  <c r="C41" i="16"/>
  <c r="M13" i="16"/>
  <c r="H13" i="16"/>
  <c r="N14" i="16"/>
  <c r="I14" i="16"/>
  <c r="F36" i="13"/>
  <c r="P16" i="13"/>
  <c r="K16" i="13"/>
  <c r="N18" i="13"/>
  <c r="I18" i="13"/>
  <c r="F44" i="13"/>
  <c r="P21" i="13"/>
  <c r="K21" i="13"/>
  <c r="F51" i="13"/>
  <c r="P25" i="13"/>
  <c r="K25" i="13"/>
  <c r="M29" i="13"/>
  <c r="H29" i="13"/>
  <c r="G45" i="13"/>
  <c r="Q30" i="13"/>
  <c r="L30" i="13"/>
  <c r="E37" i="13"/>
  <c r="O32" i="13"/>
  <c r="J32" i="13"/>
  <c r="F34" i="16"/>
  <c r="P5" i="16"/>
  <c r="K5" i="16"/>
  <c r="C40" i="16"/>
  <c r="M4" i="16"/>
  <c r="H4" i="16"/>
  <c r="O11" i="16"/>
  <c r="J11" i="16"/>
  <c r="G36" i="13"/>
  <c r="Q16" i="13"/>
  <c r="L16" i="13"/>
  <c r="O18" i="13"/>
  <c r="J18" i="13"/>
  <c r="M20" i="13"/>
  <c r="H20" i="13"/>
  <c r="G44" i="13"/>
  <c r="Q21" i="13"/>
  <c r="L21" i="13"/>
  <c r="G51" i="13"/>
  <c r="Q25" i="13"/>
  <c r="L25" i="13"/>
  <c r="N29" i="13"/>
  <c r="I29" i="13"/>
  <c r="M31" i="13"/>
  <c r="H31" i="13"/>
  <c r="F37" i="13"/>
  <c r="P32" i="13"/>
  <c r="K32" i="13"/>
  <c r="G34" i="16"/>
  <c r="Q5" i="16"/>
  <c r="L5" i="16"/>
  <c r="D40" i="16"/>
  <c r="R40" i="16" s="1"/>
  <c r="N4" i="16"/>
  <c r="I4" i="16"/>
  <c r="C42" i="16"/>
  <c r="M6" i="16"/>
  <c r="H6" i="16"/>
  <c r="P11" i="16"/>
  <c r="K11" i="16"/>
  <c r="E41" i="16"/>
  <c r="O13" i="16"/>
  <c r="J13" i="16"/>
  <c r="P14" i="16"/>
  <c r="K14" i="16"/>
  <c r="M14" i="13"/>
  <c r="H14" i="13"/>
  <c r="P18" i="13"/>
  <c r="K18" i="13"/>
  <c r="M19" i="13"/>
  <c r="H19" i="13"/>
  <c r="N20" i="13"/>
  <c r="I20" i="13"/>
  <c r="M22" i="13"/>
  <c r="H22" i="13"/>
  <c r="M26" i="13"/>
  <c r="H26" i="13"/>
  <c r="C38" i="13"/>
  <c r="M28" i="13"/>
  <c r="H28" i="13"/>
  <c r="O29" i="13"/>
  <c r="J29" i="13"/>
  <c r="N31" i="13"/>
  <c r="I31" i="13"/>
  <c r="G37" i="13"/>
  <c r="Q32" i="13"/>
  <c r="L32" i="13"/>
  <c r="E40" i="16"/>
  <c r="O4" i="16"/>
  <c r="J4" i="16"/>
  <c r="D42" i="16"/>
  <c r="R42" i="16" s="1"/>
  <c r="N6" i="16"/>
  <c r="I6" i="16"/>
  <c r="Q11" i="16"/>
  <c r="L11" i="16"/>
  <c r="Q18" i="13"/>
  <c r="L18" i="13"/>
  <c r="N19" i="13"/>
  <c r="I19" i="13"/>
  <c r="O20" i="13"/>
  <c r="J20" i="13"/>
  <c r="N22" i="13"/>
  <c r="I22" i="13"/>
  <c r="N26" i="13"/>
  <c r="I26" i="13"/>
  <c r="D38" i="13"/>
  <c r="R38" i="13" s="1"/>
  <c r="N28" i="13"/>
  <c r="I28" i="13"/>
  <c r="P29" i="13"/>
  <c r="K29" i="13"/>
  <c r="O31" i="13"/>
  <c r="J31" i="13"/>
  <c r="F40" i="16"/>
  <c r="P4" i="16"/>
  <c r="K4" i="16"/>
  <c r="E42" i="16"/>
  <c r="O6" i="16"/>
  <c r="J6" i="16"/>
  <c r="C49" i="16"/>
  <c r="M8" i="16"/>
  <c r="H8" i="16"/>
  <c r="G41" i="16"/>
  <c r="Q13" i="16"/>
  <c r="L13" i="16"/>
  <c r="D41" i="13"/>
  <c r="R41" i="13" s="1"/>
  <c r="N13" i="13"/>
  <c r="I13" i="13"/>
  <c r="O14" i="13"/>
  <c r="J14" i="13"/>
  <c r="O19" i="13"/>
  <c r="J19" i="13"/>
  <c r="P20" i="13"/>
  <c r="K20" i="13"/>
  <c r="O22" i="13"/>
  <c r="J22" i="13"/>
  <c r="C39" i="13"/>
  <c r="C33" i="13" s="1"/>
  <c r="M33" i="13" s="1"/>
  <c r="M24" i="13"/>
  <c r="H24" i="13"/>
  <c r="O26" i="13"/>
  <c r="J26" i="13"/>
  <c r="E38" i="13"/>
  <c r="O28" i="13"/>
  <c r="J28" i="13"/>
  <c r="Q29" i="13"/>
  <c r="L29" i="13"/>
  <c r="P31" i="13"/>
  <c r="K31" i="13"/>
  <c r="G40" i="16"/>
  <c r="Q4" i="16"/>
  <c r="L4" i="16"/>
  <c r="F42" i="16"/>
  <c r="P6" i="16"/>
  <c r="K6" i="16"/>
  <c r="D49" i="16"/>
  <c r="R49" i="16" s="1"/>
  <c r="N8" i="16"/>
  <c r="I8" i="16"/>
  <c r="M9" i="16"/>
  <c r="H9" i="16"/>
  <c r="P19" i="13"/>
  <c r="K19" i="13"/>
  <c r="Q20" i="13"/>
  <c r="L20" i="13"/>
  <c r="P22" i="13"/>
  <c r="K22" i="13"/>
  <c r="M23" i="13"/>
  <c r="H23" i="13"/>
  <c r="D39" i="13"/>
  <c r="R39" i="13" s="1"/>
  <c r="N24" i="13"/>
  <c r="I24" i="13"/>
  <c r="P26" i="13"/>
  <c r="K26" i="13"/>
  <c r="M27" i="13"/>
  <c r="H27" i="13"/>
  <c r="F38" i="13"/>
  <c r="P28" i="13"/>
  <c r="K28" i="13"/>
  <c r="Q31" i="13"/>
  <c r="L31" i="13"/>
  <c r="G42" i="16"/>
  <c r="Q6" i="16"/>
  <c r="L6" i="16"/>
  <c r="E49" i="16"/>
  <c r="O8" i="16"/>
  <c r="J8" i="16"/>
  <c r="N9" i="16"/>
  <c r="I9" i="16"/>
  <c r="C43" i="16"/>
  <c r="M10" i="16"/>
  <c r="H10" i="16"/>
  <c r="C48" i="16"/>
  <c r="M12" i="16"/>
  <c r="H12" i="16"/>
  <c r="G35" i="16"/>
  <c r="Q15" i="16"/>
  <c r="L15" i="16"/>
  <c r="E36" i="16"/>
  <c r="O16" i="16"/>
  <c r="J16" i="16"/>
  <c r="M18" i="16"/>
  <c r="H18" i="16"/>
  <c r="E44" i="16"/>
  <c r="O21" i="16"/>
  <c r="J21" i="16"/>
  <c r="E51" i="16"/>
  <c r="O25" i="16"/>
  <c r="J25" i="16"/>
  <c r="F45" i="16"/>
  <c r="P30" i="16"/>
  <c r="K30" i="16"/>
  <c r="D37" i="16"/>
  <c r="R37" i="16" s="1"/>
  <c r="N32" i="16"/>
  <c r="I32" i="16"/>
  <c r="F36" i="16"/>
  <c r="P16" i="16"/>
  <c r="K16" i="16"/>
  <c r="N18" i="16"/>
  <c r="I18" i="16"/>
  <c r="F44" i="16"/>
  <c r="P21" i="16"/>
  <c r="K21" i="16"/>
  <c r="F51" i="16"/>
  <c r="P25" i="16"/>
  <c r="K25" i="16"/>
  <c r="M29" i="16"/>
  <c r="H29" i="16"/>
  <c r="G45" i="16"/>
  <c r="Q30" i="16"/>
  <c r="L30" i="16"/>
  <c r="E37" i="16"/>
  <c r="O32" i="16"/>
  <c r="J32" i="16"/>
  <c r="I69" i="17"/>
  <c r="G69" i="17"/>
  <c r="J69" i="17" s="1"/>
  <c r="I72" i="17"/>
  <c r="G72" i="17"/>
  <c r="J72" i="17" s="1"/>
  <c r="I70" i="17"/>
  <c r="G70" i="17"/>
  <c r="J70" i="17" s="1"/>
  <c r="I77" i="17"/>
  <c r="G77" i="17"/>
  <c r="J77" i="17" s="1"/>
  <c r="I71" i="17"/>
  <c r="G71" i="17"/>
  <c r="J71" i="17" s="1"/>
  <c r="G36" i="16"/>
  <c r="Q16" i="16"/>
  <c r="L16" i="16"/>
  <c r="O18" i="16"/>
  <c r="J18" i="16"/>
  <c r="M20" i="16"/>
  <c r="H20" i="16"/>
  <c r="G44" i="16"/>
  <c r="Q21" i="16"/>
  <c r="L21" i="16"/>
  <c r="G51" i="16"/>
  <c r="Q25" i="16"/>
  <c r="L25" i="16"/>
  <c r="N29" i="16"/>
  <c r="I29" i="16"/>
  <c r="M31" i="16"/>
  <c r="H31" i="16"/>
  <c r="F37" i="16"/>
  <c r="P32" i="16"/>
  <c r="K32" i="16"/>
  <c r="P18" i="16"/>
  <c r="K18" i="16"/>
  <c r="M19" i="16"/>
  <c r="H19" i="16"/>
  <c r="N20" i="16"/>
  <c r="I20" i="16"/>
  <c r="M22" i="16"/>
  <c r="H22" i="16"/>
  <c r="M26" i="16"/>
  <c r="H26" i="16"/>
  <c r="C38" i="16"/>
  <c r="M28" i="16"/>
  <c r="H28" i="16"/>
  <c r="O29" i="16"/>
  <c r="J29" i="16"/>
  <c r="N31" i="16"/>
  <c r="I31" i="16"/>
  <c r="G37" i="16"/>
  <c r="Q32" i="16"/>
  <c r="L32" i="16"/>
  <c r="Q18" i="16"/>
  <c r="L18" i="16"/>
  <c r="N19" i="16"/>
  <c r="I19" i="16"/>
  <c r="O20" i="16"/>
  <c r="J20" i="16"/>
  <c r="N22" i="16"/>
  <c r="I22" i="16"/>
  <c r="N26" i="16"/>
  <c r="I26" i="16"/>
  <c r="D38" i="16"/>
  <c r="R38" i="16" s="1"/>
  <c r="N28" i="16"/>
  <c r="I28" i="16"/>
  <c r="P29" i="16"/>
  <c r="K29" i="16"/>
  <c r="O31" i="16"/>
  <c r="J31" i="16"/>
  <c r="I74" i="17"/>
  <c r="G74" i="17"/>
  <c r="J74" i="17" s="1"/>
  <c r="D41" i="16"/>
  <c r="R41" i="16" s="1"/>
  <c r="N13" i="16"/>
  <c r="I13" i="16"/>
  <c r="O14" i="16"/>
  <c r="J14" i="16"/>
  <c r="O19" i="16"/>
  <c r="J19" i="16"/>
  <c r="P20" i="16"/>
  <c r="K20" i="16"/>
  <c r="O22" i="16"/>
  <c r="J22" i="16"/>
  <c r="C39" i="16"/>
  <c r="M24" i="16"/>
  <c r="H24" i="16"/>
  <c r="O26" i="16"/>
  <c r="J26" i="16"/>
  <c r="E38" i="16"/>
  <c r="O28" i="16"/>
  <c r="J28" i="16"/>
  <c r="Q29" i="16"/>
  <c r="L29" i="16"/>
  <c r="P31" i="16"/>
  <c r="K31" i="16"/>
  <c r="P19" i="16"/>
  <c r="K19" i="16"/>
  <c r="Q20" i="16"/>
  <c r="L20" i="16"/>
  <c r="P22" i="16"/>
  <c r="K22" i="16"/>
  <c r="M23" i="16"/>
  <c r="H23" i="16"/>
  <c r="D39" i="16"/>
  <c r="R39" i="16" s="1"/>
  <c r="N24" i="16"/>
  <c r="I24" i="16"/>
  <c r="P26" i="16"/>
  <c r="K26" i="16"/>
  <c r="M27" i="16"/>
  <c r="H27" i="16"/>
  <c r="F38" i="16"/>
  <c r="P28" i="16"/>
  <c r="K28" i="16"/>
  <c r="Q31" i="16"/>
  <c r="L31" i="16"/>
  <c r="I73" i="17"/>
  <c r="G73" i="17"/>
  <c r="J73" i="17" s="1"/>
  <c r="I76" i="17"/>
  <c r="G76" i="17"/>
  <c r="J76" i="17" s="1"/>
  <c r="F41" i="16"/>
  <c r="P13" i="16"/>
  <c r="K13" i="16"/>
  <c r="Q14" i="16"/>
  <c r="L14" i="16"/>
  <c r="C46" i="16"/>
  <c r="M17" i="16"/>
  <c r="H17" i="16"/>
  <c r="Q19" i="16"/>
  <c r="L19" i="16"/>
  <c r="Q22" i="16"/>
  <c r="L22" i="16"/>
  <c r="N23" i="16"/>
  <c r="I23" i="16"/>
  <c r="E39" i="16"/>
  <c r="O24" i="16"/>
  <c r="J24" i="16"/>
  <c r="Q26" i="16"/>
  <c r="L26" i="16"/>
  <c r="N27" i="16"/>
  <c r="I27" i="16"/>
  <c r="G38" i="16"/>
  <c r="Q28" i="16"/>
  <c r="L28" i="16"/>
  <c r="I75" i="17"/>
  <c r="G75" i="17"/>
  <c r="J75" i="17" s="1"/>
  <c r="C35" i="16"/>
  <c r="M15" i="16"/>
  <c r="H15" i="16"/>
  <c r="D46" i="16"/>
  <c r="R46" i="16" s="1"/>
  <c r="N17" i="16"/>
  <c r="I17" i="16"/>
  <c r="O23" i="16"/>
  <c r="J23" i="16"/>
  <c r="F39" i="16"/>
  <c r="P24" i="16"/>
  <c r="K24" i="16"/>
  <c r="O27" i="16"/>
  <c r="J27" i="16"/>
  <c r="D35" i="16"/>
  <c r="R35" i="16" s="1"/>
  <c r="N15" i="16"/>
  <c r="I15" i="16"/>
  <c r="E46" i="16"/>
  <c r="O17" i="16"/>
  <c r="J17" i="16"/>
  <c r="P23" i="16"/>
  <c r="K23" i="16"/>
  <c r="G39" i="16"/>
  <c r="Q24" i="16"/>
  <c r="L24" i="16"/>
  <c r="P27" i="16"/>
  <c r="K27" i="16"/>
  <c r="C45" i="16"/>
  <c r="M30" i="16"/>
  <c r="H30" i="16"/>
  <c r="I68" i="17"/>
  <c r="G68" i="17"/>
  <c r="J68" i="17" s="1"/>
  <c r="E35" i="16"/>
  <c r="O15" i="16"/>
  <c r="J15" i="16"/>
  <c r="C36" i="16"/>
  <c r="M16" i="16"/>
  <c r="H16" i="16"/>
  <c r="F46" i="16"/>
  <c r="P17" i="16"/>
  <c r="K17" i="16"/>
  <c r="C44" i="16"/>
  <c r="M21" i="16"/>
  <c r="H21" i="16"/>
  <c r="Q23" i="16"/>
  <c r="L23" i="16"/>
  <c r="C51" i="16"/>
  <c r="M25" i="16"/>
  <c r="H25" i="16"/>
  <c r="Q27" i="16"/>
  <c r="L27" i="16"/>
  <c r="D45" i="16"/>
  <c r="R45" i="16" s="1"/>
  <c r="N30" i="16"/>
  <c r="I30" i="16"/>
  <c r="I66" i="17"/>
  <c r="G66" i="17"/>
  <c r="J66" i="17" s="1"/>
  <c r="I67" i="17"/>
  <c r="G67" i="17"/>
  <c r="J67" i="17" s="1"/>
  <c r="G48" i="18"/>
  <c r="J48" i="18" s="1"/>
  <c r="F47" i="18"/>
  <c r="I47" i="18" s="1"/>
  <c r="G44" i="18"/>
  <c r="J44" i="18" s="1"/>
  <c r="G47" i="13"/>
  <c r="Q47" i="13" s="1"/>
  <c r="C47" i="16"/>
  <c r="M47" i="16" s="1"/>
  <c r="G42" i="18"/>
  <c r="J42" i="18" s="1"/>
  <c r="G40" i="18"/>
  <c r="J40" i="18" s="1"/>
  <c r="E47" i="16"/>
  <c r="O47" i="16" s="1"/>
  <c r="G51" i="18"/>
  <c r="J51" i="18" s="1"/>
  <c r="G43" i="18"/>
  <c r="J43" i="18" s="1"/>
  <c r="E47" i="13"/>
  <c r="O47" i="13" s="1"/>
  <c r="F47" i="13"/>
  <c r="P47" i="13" s="1"/>
  <c r="G75" i="13"/>
  <c r="G61" i="13"/>
  <c r="R34" i="13"/>
  <c r="G54" i="13"/>
  <c r="G68" i="13"/>
  <c r="C77" i="13"/>
  <c r="C63" i="13"/>
  <c r="F74" i="13"/>
  <c r="F60" i="13"/>
  <c r="C72" i="13"/>
  <c r="C58" i="13"/>
  <c r="D57" i="13"/>
  <c r="R57" i="13" s="1"/>
  <c r="D71" i="13"/>
  <c r="R71" i="13" s="1"/>
  <c r="D77" i="13"/>
  <c r="R77" i="13" s="1"/>
  <c r="D63" i="13"/>
  <c r="R63" i="13" s="1"/>
  <c r="G74" i="13"/>
  <c r="G60" i="13"/>
  <c r="D56" i="13"/>
  <c r="R56" i="13" s="1"/>
  <c r="D70" i="13"/>
  <c r="R70" i="13" s="1"/>
  <c r="E76" i="13"/>
  <c r="E62" i="13"/>
  <c r="D72" i="13"/>
  <c r="R72" i="13" s="1"/>
  <c r="D58" i="13"/>
  <c r="R58" i="13" s="1"/>
  <c r="D69" i="13"/>
  <c r="R69" i="13" s="1"/>
  <c r="D55" i="13"/>
  <c r="R55" i="13" s="1"/>
  <c r="F64" i="13"/>
  <c r="F78" i="13"/>
  <c r="E73" i="13"/>
  <c r="E59" i="13"/>
  <c r="E53" i="16"/>
  <c r="E67" i="16"/>
  <c r="E66" i="16"/>
  <c r="E52" i="16"/>
  <c r="E63" i="13"/>
  <c r="E77" i="13"/>
  <c r="E70" i="13"/>
  <c r="E56" i="13"/>
  <c r="F76" i="13"/>
  <c r="F62" i="13"/>
  <c r="E72" i="13"/>
  <c r="E58" i="13"/>
  <c r="E69" i="13"/>
  <c r="E55" i="13"/>
  <c r="G64" i="13"/>
  <c r="G78" i="13"/>
  <c r="F73" i="13"/>
  <c r="F59" i="13"/>
  <c r="C61" i="16"/>
  <c r="C75" i="16"/>
  <c r="F67" i="16"/>
  <c r="F53" i="16"/>
  <c r="F52" i="16"/>
  <c r="F66" i="16"/>
  <c r="F77" i="13"/>
  <c r="F63" i="13"/>
  <c r="F70" i="13"/>
  <c r="F56" i="13"/>
  <c r="G76" i="13"/>
  <c r="G62" i="13"/>
  <c r="F58" i="13"/>
  <c r="F72" i="13"/>
  <c r="C53" i="13"/>
  <c r="C67" i="13"/>
  <c r="F69" i="13"/>
  <c r="F55" i="13"/>
  <c r="C66" i="13"/>
  <c r="C52" i="13"/>
  <c r="G73" i="13"/>
  <c r="G59" i="13"/>
  <c r="D75" i="16"/>
  <c r="R75" i="16" s="1"/>
  <c r="D61" i="16"/>
  <c r="R61" i="16" s="1"/>
  <c r="G53" i="16"/>
  <c r="G67" i="16"/>
  <c r="G66" i="16"/>
  <c r="G52" i="16"/>
  <c r="G71" i="13"/>
  <c r="G57" i="13"/>
  <c r="G77" i="13"/>
  <c r="G63" i="13"/>
  <c r="G70" i="13"/>
  <c r="G56" i="13"/>
  <c r="G58" i="13"/>
  <c r="G72" i="13"/>
  <c r="D53" i="13"/>
  <c r="R53" i="13" s="1"/>
  <c r="D67" i="13"/>
  <c r="R67" i="13" s="1"/>
  <c r="G55" i="13"/>
  <c r="G69" i="13"/>
  <c r="D66" i="13"/>
  <c r="D52" i="13"/>
  <c r="R52" i="13" s="1"/>
  <c r="C68" i="16"/>
  <c r="C54" i="16"/>
  <c r="E75" i="16"/>
  <c r="E61" i="16"/>
  <c r="R48" i="16"/>
  <c r="E66" i="13"/>
  <c r="E52" i="13"/>
  <c r="D68" i="16"/>
  <c r="R68" i="16" s="1"/>
  <c r="D54" i="16"/>
  <c r="R54" i="16" s="1"/>
  <c r="F75" i="16"/>
  <c r="F61" i="16"/>
  <c r="C74" i="16"/>
  <c r="C60" i="16"/>
  <c r="F67" i="13"/>
  <c r="F53" i="13"/>
  <c r="E68" i="16"/>
  <c r="E54" i="16"/>
  <c r="G75" i="16"/>
  <c r="G61" i="16"/>
  <c r="F47" i="16"/>
  <c r="P47" i="16" s="1"/>
  <c r="D60" i="16"/>
  <c r="R60" i="16" s="1"/>
  <c r="D74" i="16"/>
  <c r="R74" i="16" s="1"/>
  <c r="C78" i="16"/>
  <c r="C64" i="16"/>
  <c r="F61" i="13"/>
  <c r="F75" i="13"/>
  <c r="E68" i="13"/>
  <c r="E54" i="13"/>
  <c r="E57" i="13"/>
  <c r="E71" i="13"/>
  <c r="F57" i="13"/>
  <c r="F71" i="13"/>
  <c r="E53" i="13"/>
  <c r="E67" i="13"/>
  <c r="C75" i="13"/>
  <c r="C61" i="13"/>
  <c r="F66" i="13"/>
  <c r="F52" i="13"/>
  <c r="D75" i="13"/>
  <c r="R75" i="13" s="1"/>
  <c r="D61" i="13"/>
  <c r="R61" i="13" s="1"/>
  <c r="C47" i="13"/>
  <c r="M47" i="13" s="1"/>
  <c r="G67" i="13"/>
  <c r="G53" i="13"/>
  <c r="G66" i="13"/>
  <c r="G52" i="13"/>
  <c r="F68" i="16"/>
  <c r="F54" i="16"/>
  <c r="E74" i="16"/>
  <c r="E60" i="16"/>
  <c r="C76" i="16"/>
  <c r="C62" i="16"/>
  <c r="D64" i="16"/>
  <c r="R64" i="16" s="1"/>
  <c r="D78" i="16"/>
  <c r="R78" i="16" s="1"/>
  <c r="C73" i="16"/>
  <c r="C59" i="16"/>
  <c r="D68" i="13"/>
  <c r="R68" i="13" s="1"/>
  <c r="D54" i="13"/>
  <c r="R54" i="13" s="1"/>
  <c r="C68" i="13"/>
  <c r="C54" i="13"/>
  <c r="E75" i="13"/>
  <c r="E61" i="13"/>
  <c r="D47" i="13"/>
  <c r="N47" i="13" s="1"/>
  <c r="R48" i="13"/>
  <c r="R34" i="16"/>
  <c r="G68" i="16"/>
  <c r="G54" i="16"/>
  <c r="C71" i="16"/>
  <c r="C57" i="16"/>
  <c r="C63" i="16"/>
  <c r="C77" i="16"/>
  <c r="F60" i="16"/>
  <c r="F74" i="16"/>
  <c r="C70" i="16"/>
  <c r="C56" i="16"/>
  <c r="D62" i="16"/>
  <c r="R62" i="16" s="1"/>
  <c r="D76" i="16"/>
  <c r="R76" i="16" s="1"/>
  <c r="C72" i="16"/>
  <c r="C58" i="16"/>
  <c r="C55" i="16"/>
  <c r="C69" i="16"/>
  <c r="E78" i="16"/>
  <c r="E64" i="16"/>
  <c r="D73" i="16"/>
  <c r="R73" i="16" s="1"/>
  <c r="D59" i="16"/>
  <c r="R59" i="16" s="1"/>
  <c r="C60" i="13"/>
  <c r="C74" i="13"/>
  <c r="D71" i="16"/>
  <c r="R71" i="16" s="1"/>
  <c r="D57" i="16"/>
  <c r="R57" i="16" s="1"/>
  <c r="D63" i="16"/>
  <c r="R63" i="16" s="1"/>
  <c r="D77" i="16"/>
  <c r="R77" i="16" s="1"/>
  <c r="G74" i="16"/>
  <c r="G60" i="16"/>
  <c r="D56" i="16"/>
  <c r="R56" i="16" s="1"/>
  <c r="D70" i="16"/>
  <c r="R70" i="16" s="1"/>
  <c r="E76" i="16"/>
  <c r="E62" i="16"/>
  <c r="D58" i="16"/>
  <c r="R58" i="16" s="1"/>
  <c r="D72" i="16"/>
  <c r="R72" i="16" s="1"/>
  <c r="D69" i="16"/>
  <c r="R69" i="16" s="1"/>
  <c r="D55" i="16"/>
  <c r="R55" i="16" s="1"/>
  <c r="F64" i="16"/>
  <c r="F78" i="16"/>
  <c r="E73" i="16"/>
  <c r="E59" i="16"/>
  <c r="D60" i="13"/>
  <c r="R60" i="13" s="1"/>
  <c r="D74" i="13"/>
  <c r="R74" i="13" s="1"/>
  <c r="C78" i="13"/>
  <c r="C64" i="13"/>
  <c r="E57" i="16"/>
  <c r="E71" i="16"/>
  <c r="E63" i="16"/>
  <c r="E77" i="16"/>
  <c r="E70" i="16"/>
  <c r="E56" i="16"/>
  <c r="F62" i="16"/>
  <c r="F76" i="16"/>
  <c r="E58" i="16"/>
  <c r="E72" i="16"/>
  <c r="E55" i="16"/>
  <c r="E69" i="16"/>
  <c r="G78" i="16"/>
  <c r="G64" i="16"/>
  <c r="F73" i="16"/>
  <c r="F59" i="16"/>
  <c r="F54" i="13"/>
  <c r="F68" i="13"/>
  <c r="E60" i="13"/>
  <c r="E74" i="13"/>
  <c r="C62" i="13"/>
  <c r="C76" i="13"/>
  <c r="D78" i="13"/>
  <c r="R78" i="13" s="1"/>
  <c r="D64" i="13"/>
  <c r="R64" i="13" s="1"/>
  <c r="C73" i="13"/>
  <c r="C59" i="13"/>
  <c r="F71" i="16"/>
  <c r="F57" i="16"/>
  <c r="F77" i="16"/>
  <c r="F63" i="16"/>
  <c r="F70" i="16"/>
  <c r="F56" i="16"/>
  <c r="G76" i="16"/>
  <c r="G62" i="16"/>
  <c r="F58" i="16"/>
  <c r="F72" i="16"/>
  <c r="C53" i="16"/>
  <c r="C67" i="16"/>
  <c r="F69" i="16"/>
  <c r="F55" i="16"/>
  <c r="C66" i="16"/>
  <c r="C52" i="16"/>
  <c r="G59" i="16"/>
  <c r="G73" i="16"/>
  <c r="G60" i="18"/>
  <c r="J60" i="18" s="1"/>
  <c r="G39" i="18"/>
  <c r="J39" i="18" s="1"/>
  <c r="C71" i="13"/>
  <c r="C57" i="13"/>
  <c r="C70" i="13"/>
  <c r="C56" i="13"/>
  <c r="D76" i="13"/>
  <c r="R76" i="13" s="1"/>
  <c r="D62" i="13"/>
  <c r="R62" i="13" s="1"/>
  <c r="C69" i="13"/>
  <c r="C55" i="13"/>
  <c r="E64" i="13"/>
  <c r="E78" i="13"/>
  <c r="D73" i="13"/>
  <c r="R73" i="13" s="1"/>
  <c r="D59" i="13"/>
  <c r="R59" i="13" s="1"/>
  <c r="G57" i="16"/>
  <c r="G71" i="16"/>
  <c r="G77" i="16"/>
  <c r="G63" i="16"/>
  <c r="G70" i="16"/>
  <c r="G56" i="16"/>
  <c r="G72" i="16"/>
  <c r="G58" i="16"/>
  <c r="D67" i="16"/>
  <c r="R67" i="16" s="1"/>
  <c r="D53" i="16"/>
  <c r="R53" i="16" s="1"/>
  <c r="G55" i="16"/>
  <c r="G69" i="16"/>
  <c r="D52" i="16"/>
  <c r="R52" i="16" s="1"/>
  <c r="D66" i="16"/>
  <c r="E47" i="18"/>
  <c r="H47" i="18" s="1"/>
  <c r="G47" i="21"/>
  <c r="J47" i="21" s="1"/>
  <c r="G52" i="18"/>
  <c r="J52" i="18" s="1"/>
  <c r="G36" i="18"/>
  <c r="J36" i="18" s="1"/>
  <c r="G37" i="18"/>
  <c r="J37" i="18" s="1"/>
  <c r="G50" i="21"/>
  <c r="J50" i="21" s="1"/>
  <c r="G33" i="21"/>
  <c r="J33" i="21" s="1"/>
  <c r="G65" i="21"/>
  <c r="J65" i="21" s="1"/>
  <c r="G34" i="18"/>
  <c r="J34" i="18" s="1"/>
  <c r="G62" i="18"/>
  <c r="J62" i="18" s="1"/>
  <c r="G38" i="18"/>
  <c r="J38" i="18" s="1"/>
  <c r="G64" i="18"/>
  <c r="J64" i="18" s="1"/>
  <c r="E33" i="18"/>
  <c r="H33" i="18" s="1"/>
  <c r="G59" i="18"/>
  <c r="J59" i="18" s="1"/>
  <c r="F65" i="18"/>
  <c r="I65" i="18" s="1"/>
  <c r="G53" i="18"/>
  <c r="J53" i="18" s="1"/>
  <c r="G35" i="18"/>
  <c r="J35" i="18" s="1"/>
  <c r="F33" i="18"/>
  <c r="I33" i="18" s="1"/>
  <c r="E37" i="17"/>
  <c r="H37" i="17" s="1"/>
  <c r="E32" i="17"/>
  <c r="H32" i="17" s="1"/>
  <c r="E54" i="17"/>
  <c r="H54" i="17" s="1"/>
  <c r="E7" i="17"/>
  <c r="H7" i="17" s="1"/>
  <c r="E52" i="17"/>
  <c r="H52" i="17" s="1"/>
  <c r="E27" i="17"/>
  <c r="H27" i="17" s="1"/>
  <c r="E53" i="17"/>
  <c r="H53" i="17" s="1"/>
  <c r="E23" i="17"/>
  <c r="H23" i="17" s="1"/>
  <c r="E42" i="17"/>
  <c r="H42" i="17" s="1"/>
  <c r="E6" i="17"/>
  <c r="H6" i="17" s="1"/>
  <c r="E64" i="17"/>
  <c r="H64" i="17" s="1"/>
  <c r="E29" i="17"/>
  <c r="H29" i="17" s="1"/>
  <c r="E34" i="17"/>
  <c r="H34" i="17" s="1"/>
  <c r="E5" i="17"/>
  <c r="H5" i="17" s="1"/>
  <c r="E15" i="17"/>
  <c r="H15" i="17" s="1"/>
  <c r="E35" i="17"/>
  <c r="H35" i="17" s="1"/>
  <c r="E49" i="17"/>
  <c r="H49" i="17" s="1"/>
  <c r="E8" i="17"/>
  <c r="H8" i="17" s="1"/>
  <c r="E38" i="17"/>
  <c r="H38" i="17" s="1"/>
  <c r="E28" i="17"/>
  <c r="H28" i="17" s="1"/>
  <c r="E26" i="17"/>
  <c r="H26" i="17" s="1"/>
  <c r="E55" i="17"/>
  <c r="H55" i="17" s="1"/>
  <c r="E22" i="17"/>
  <c r="H22" i="17" s="1"/>
  <c r="E58" i="17"/>
  <c r="H58" i="17" s="1"/>
  <c r="E19" i="17"/>
  <c r="H19" i="17" s="1"/>
  <c r="E56" i="17"/>
  <c r="H56" i="17" s="1"/>
  <c r="E63" i="17"/>
  <c r="H63" i="17" s="1"/>
  <c r="E14" i="17"/>
  <c r="H14" i="17" s="1"/>
  <c r="E57" i="17"/>
  <c r="H57" i="17" s="1"/>
  <c r="E11" i="17"/>
  <c r="H11" i="17" s="1"/>
  <c r="E51" i="17"/>
  <c r="H51" i="17" s="1"/>
  <c r="E25" i="17"/>
  <c r="H25" i="17" s="1"/>
  <c r="E21" i="17"/>
  <c r="H21" i="17" s="1"/>
  <c r="E44" i="17"/>
  <c r="H44" i="17" s="1"/>
  <c r="E36" i="17"/>
  <c r="H36" i="17" s="1"/>
  <c r="E16" i="17"/>
  <c r="H16" i="17" s="1"/>
  <c r="E48" i="17"/>
  <c r="H48" i="17" s="1"/>
  <c r="E12" i="17"/>
  <c r="H12" i="17" s="1"/>
  <c r="E43" i="17"/>
  <c r="H43" i="17" s="1"/>
  <c r="E10" i="17"/>
  <c r="H10" i="17" s="1"/>
  <c r="E24" i="17"/>
  <c r="H24" i="17" s="1"/>
  <c r="E39" i="17"/>
  <c r="H39" i="17" s="1"/>
  <c r="E60" i="17"/>
  <c r="H60" i="17" s="1"/>
  <c r="E18" i="17"/>
  <c r="H18" i="17" s="1"/>
  <c r="E40" i="17"/>
  <c r="H40" i="17" s="1"/>
  <c r="E4" i="17"/>
  <c r="H4" i="17" s="1"/>
  <c r="E46" i="17"/>
  <c r="H46" i="17" s="1"/>
  <c r="E17" i="17"/>
  <c r="H17" i="17" s="1"/>
  <c r="E31" i="17"/>
  <c r="H31" i="17" s="1"/>
  <c r="E59" i="17"/>
  <c r="H59" i="17" s="1"/>
  <c r="E62" i="17"/>
  <c r="H62" i="17" s="1"/>
  <c r="E20" i="17"/>
  <c r="H20" i="17" s="1"/>
  <c r="E30" i="17"/>
  <c r="H30" i="17" s="1"/>
  <c r="E45" i="17"/>
  <c r="H45" i="17" s="1"/>
  <c r="E61" i="17"/>
  <c r="H61" i="17" s="1"/>
  <c r="E9" i="17"/>
  <c r="H9" i="17" s="1"/>
  <c r="E41" i="17"/>
  <c r="H41" i="17" s="1"/>
  <c r="E13" i="17"/>
  <c r="H13" i="17" s="1"/>
  <c r="J47" i="19"/>
  <c r="O47" i="19" s="1"/>
  <c r="H47" i="19"/>
  <c r="M47" i="19" s="1"/>
  <c r="H33" i="19"/>
  <c r="M33" i="19" s="1"/>
  <c r="I33" i="19"/>
  <c r="N33" i="19" s="1"/>
  <c r="F30" i="17"/>
  <c r="I30" i="17" s="1"/>
  <c r="F45" i="17"/>
  <c r="I45" i="17" s="1"/>
  <c r="G30" i="17"/>
  <c r="J30" i="17" s="1"/>
  <c r="F61" i="17"/>
  <c r="I61" i="17" s="1"/>
  <c r="G9" i="17"/>
  <c r="J9" i="17" s="1"/>
  <c r="F9" i="17"/>
  <c r="I9" i="17" s="1"/>
  <c r="L33" i="19"/>
  <c r="Q33" i="19" s="1"/>
  <c r="I65" i="19"/>
  <c r="N65" i="19" s="1"/>
  <c r="F41" i="17"/>
  <c r="I41" i="17" s="1"/>
  <c r="G13" i="17"/>
  <c r="J13" i="17" s="1"/>
  <c r="F13" i="17"/>
  <c r="I13" i="17" s="1"/>
  <c r="L65" i="19"/>
  <c r="Q65" i="19" s="1"/>
  <c r="J50" i="19"/>
  <c r="O50" i="19" s="1"/>
  <c r="F37" i="17"/>
  <c r="I37" i="17" s="1"/>
  <c r="F32" i="17"/>
  <c r="I32" i="17" s="1"/>
  <c r="G32" i="17"/>
  <c r="J32" i="17" s="1"/>
  <c r="F54" i="17"/>
  <c r="I54" i="17" s="1"/>
  <c r="G7" i="17"/>
  <c r="J7" i="17" s="1"/>
  <c r="F7" i="17"/>
  <c r="I7" i="17" s="1"/>
  <c r="K65" i="19"/>
  <c r="P65" i="19" s="1"/>
  <c r="G27" i="17"/>
  <c r="J27" i="17" s="1"/>
  <c r="F52" i="17"/>
  <c r="I52" i="17" s="1"/>
  <c r="F27" i="17"/>
  <c r="I27" i="17" s="1"/>
  <c r="F23" i="17"/>
  <c r="I23" i="17" s="1"/>
  <c r="F53" i="17"/>
  <c r="I53" i="17" s="1"/>
  <c r="G23" i="17"/>
  <c r="J23" i="17" s="1"/>
  <c r="F42" i="17"/>
  <c r="I42" i="17" s="1"/>
  <c r="G6" i="17"/>
  <c r="J6" i="17" s="1"/>
  <c r="F6" i="17"/>
  <c r="I6" i="17" s="1"/>
  <c r="H65" i="19"/>
  <c r="M65" i="19" s="1"/>
  <c r="G29" i="17"/>
  <c r="J29" i="17" s="1"/>
  <c r="F64" i="17"/>
  <c r="I64" i="17" s="1"/>
  <c r="F29" i="17"/>
  <c r="I29" i="17" s="1"/>
  <c r="G5" i="17"/>
  <c r="J5" i="17" s="1"/>
  <c r="F5" i="17"/>
  <c r="I5" i="17" s="1"/>
  <c r="F34" i="17"/>
  <c r="I34" i="17" s="1"/>
  <c r="H50" i="19"/>
  <c r="M50" i="19" s="1"/>
  <c r="F35" i="17"/>
  <c r="I35" i="17" s="1"/>
  <c r="F15" i="17"/>
  <c r="I15" i="17" s="1"/>
  <c r="G15" i="17"/>
  <c r="J15" i="17" s="1"/>
  <c r="F49" i="17"/>
  <c r="I49" i="17" s="1"/>
  <c r="G8" i="17"/>
  <c r="J8" i="17" s="1"/>
  <c r="F8" i="17"/>
  <c r="I8" i="17" s="1"/>
  <c r="K33" i="19"/>
  <c r="P33" i="19" s="1"/>
  <c r="K50" i="19"/>
  <c r="P50" i="19" s="1"/>
  <c r="F38" i="17"/>
  <c r="I38" i="17" s="1"/>
  <c r="G28" i="17"/>
  <c r="J28" i="17" s="1"/>
  <c r="F28" i="17"/>
  <c r="I28" i="17" s="1"/>
  <c r="F55" i="17"/>
  <c r="I55" i="17" s="1"/>
  <c r="F26" i="17"/>
  <c r="I26" i="17" s="1"/>
  <c r="G26" i="17"/>
  <c r="J26" i="17" s="1"/>
  <c r="F22" i="17"/>
  <c r="I22" i="17" s="1"/>
  <c r="F58" i="17"/>
  <c r="I58" i="17" s="1"/>
  <c r="G22" i="17"/>
  <c r="J22" i="17" s="1"/>
  <c r="F19" i="17"/>
  <c r="I19" i="17" s="1"/>
  <c r="G19" i="17"/>
  <c r="J19" i="17" s="1"/>
  <c r="F56" i="17"/>
  <c r="I56" i="17" s="1"/>
  <c r="F63" i="17"/>
  <c r="I63" i="17" s="1"/>
  <c r="G14" i="17"/>
  <c r="J14" i="17" s="1"/>
  <c r="F14" i="17"/>
  <c r="I14" i="17" s="1"/>
  <c r="F57" i="17"/>
  <c r="I57" i="17" s="1"/>
  <c r="G11" i="17"/>
  <c r="J11" i="17" s="1"/>
  <c r="F11" i="17"/>
  <c r="I11" i="17" s="1"/>
  <c r="G25" i="17"/>
  <c r="J25" i="17" s="1"/>
  <c r="F51" i="17"/>
  <c r="I51" i="17" s="1"/>
  <c r="F25" i="17"/>
  <c r="I25" i="17" s="1"/>
  <c r="F44" i="17"/>
  <c r="I44" i="17" s="1"/>
  <c r="F21" i="17"/>
  <c r="I21" i="17" s="1"/>
  <c r="G21" i="17"/>
  <c r="J21" i="17" s="1"/>
  <c r="F36" i="17"/>
  <c r="I36" i="17" s="1"/>
  <c r="G16" i="17"/>
  <c r="J16" i="17" s="1"/>
  <c r="F16" i="17"/>
  <c r="I16" i="17" s="1"/>
  <c r="F48" i="17"/>
  <c r="I48" i="17" s="1"/>
  <c r="G12" i="17"/>
  <c r="J12" i="17" s="1"/>
  <c r="F12" i="17"/>
  <c r="I12" i="17" s="1"/>
  <c r="F43" i="17"/>
  <c r="I43" i="17" s="1"/>
  <c r="G10" i="17"/>
  <c r="J10" i="17" s="1"/>
  <c r="F10" i="17"/>
  <c r="I10" i="17" s="1"/>
  <c r="L50" i="19"/>
  <c r="Q50" i="19" s="1"/>
  <c r="F39" i="17"/>
  <c r="I39" i="17" s="1"/>
  <c r="F24" i="17"/>
  <c r="I24" i="17" s="1"/>
  <c r="G24" i="17"/>
  <c r="J24" i="17" s="1"/>
  <c r="G18" i="17"/>
  <c r="J18" i="17" s="1"/>
  <c r="F18" i="17"/>
  <c r="I18" i="17" s="1"/>
  <c r="F60" i="17"/>
  <c r="I60" i="17" s="1"/>
  <c r="F40" i="17"/>
  <c r="I40" i="17" s="1"/>
  <c r="G4" i="17"/>
  <c r="J4" i="17" s="1"/>
  <c r="F4" i="17"/>
  <c r="I4" i="17" s="1"/>
  <c r="I50" i="19"/>
  <c r="N50" i="19" s="1"/>
  <c r="L47" i="19"/>
  <c r="Q47" i="19" s="1"/>
  <c r="F46" i="17"/>
  <c r="I46" i="17" s="1"/>
  <c r="F17" i="17"/>
  <c r="I17" i="17" s="1"/>
  <c r="G17" i="17"/>
  <c r="J17" i="17" s="1"/>
  <c r="J33" i="19"/>
  <c r="O33" i="19" s="1"/>
  <c r="I47" i="19"/>
  <c r="N47" i="19" s="1"/>
  <c r="F31" i="17"/>
  <c r="I31" i="17" s="1"/>
  <c r="G31" i="17"/>
  <c r="J31" i="17" s="1"/>
  <c r="F59" i="17"/>
  <c r="I59" i="17" s="1"/>
  <c r="F62" i="17"/>
  <c r="I62" i="17" s="1"/>
  <c r="F20" i="17"/>
  <c r="I20" i="17" s="1"/>
  <c r="G20" i="17"/>
  <c r="J20" i="17" s="1"/>
  <c r="J65" i="19"/>
  <c r="O65" i="19" s="1"/>
  <c r="K47" i="19"/>
  <c r="P47" i="19" s="1"/>
  <c r="G54" i="18"/>
  <c r="J54" i="18" s="1"/>
  <c r="G61" i="18"/>
  <c r="J61" i="18" s="1"/>
  <c r="G55" i="18"/>
  <c r="J55" i="18" s="1"/>
  <c r="G56" i="18"/>
  <c r="J56" i="18" s="1"/>
  <c r="G63" i="18"/>
  <c r="J63" i="18" s="1"/>
  <c r="G57" i="18"/>
  <c r="J57" i="18" s="1"/>
  <c r="F50" i="18"/>
  <c r="I50" i="18" s="1"/>
  <c r="E50" i="18"/>
  <c r="H50" i="18" s="1"/>
  <c r="G47" i="18"/>
  <c r="J47" i="18" s="1"/>
  <c r="G47" i="16" l="1"/>
  <c r="Q47" i="16" s="1"/>
  <c r="E33" i="16"/>
  <c r="O33" i="16" s="1"/>
  <c r="F33" i="13"/>
  <c r="P33" i="13" s="1"/>
  <c r="F33" i="16"/>
  <c r="P33" i="16" s="1"/>
  <c r="C33" i="16"/>
  <c r="M33" i="16" s="1"/>
  <c r="D33" i="16"/>
  <c r="N33" i="16" s="1"/>
  <c r="G33" i="16"/>
  <c r="Q33" i="16" s="1"/>
  <c r="E33" i="13"/>
  <c r="O33" i="13" s="1"/>
  <c r="G33" i="13"/>
  <c r="Q33" i="13" s="1"/>
  <c r="D33" i="13"/>
  <c r="N33" i="13" s="1"/>
  <c r="D47" i="16"/>
  <c r="N47" i="16" s="1"/>
  <c r="C50" i="13"/>
  <c r="M50" i="13" s="1"/>
  <c r="C65" i="13"/>
  <c r="M65" i="13" s="1"/>
  <c r="G50" i="16"/>
  <c r="Q50" i="16" s="1"/>
  <c r="F50" i="16"/>
  <c r="P50" i="16" s="1"/>
  <c r="E50" i="13"/>
  <c r="O50" i="13" s="1"/>
  <c r="C50" i="16"/>
  <c r="M50" i="16" s="1"/>
  <c r="E65" i="16"/>
  <c r="O65" i="16" s="1"/>
  <c r="G50" i="13"/>
  <c r="Q50" i="13" s="1"/>
  <c r="R66" i="16"/>
  <c r="D65" i="16"/>
  <c r="N65" i="16" s="1"/>
  <c r="R33" i="16"/>
  <c r="E50" i="16"/>
  <c r="O50" i="16" s="1"/>
  <c r="D50" i="13"/>
  <c r="N50" i="13" s="1"/>
  <c r="G65" i="13"/>
  <c r="Q65" i="13" s="1"/>
  <c r="R47" i="13"/>
  <c r="R66" i="13"/>
  <c r="D65" i="13"/>
  <c r="N65" i="13" s="1"/>
  <c r="F65" i="16"/>
  <c r="P65" i="16" s="1"/>
  <c r="C65" i="16"/>
  <c r="M65" i="16" s="1"/>
  <c r="E65" i="13"/>
  <c r="O65" i="13" s="1"/>
  <c r="G65" i="16"/>
  <c r="Q65" i="16" s="1"/>
  <c r="D50" i="16"/>
  <c r="N50" i="16" s="1"/>
  <c r="R33" i="13"/>
  <c r="F65" i="13"/>
  <c r="P65" i="13" s="1"/>
  <c r="F50" i="13"/>
  <c r="P50" i="13" s="1"/>
  <c r="R47" i="16"/>
  <c r="G33" i="18"/>
  <c r="J33" i="18" s="1"/>
  <c r="G65" i="18"/>
  <c r="J65" i="18" s="1"/>
  <c r="E47" i="17"/>
  <c r="H47" i="17" s="1"/>
  <c r="E65" i="17"/>
  <c r="H65" i="17" s="1"/>
  <c r="E33" i="17"/>
  <c r="H33" i="17" s="1"/>
  <c r="E50" i="17"/>
  <c r="H50" i="17" s="1"/>
  <c r="G60" i="17"/>
  <c r="J60" i="17" s="1"/>
  <c r="G64" i="17"/>
  <c r="J64" i="17" s="1"/>
  <c r="G62" i="17"/>
  <c r="J62" i="17" s="1"/>
  <c r="G59" i="17"/>
  <c r="J59" i="17" s="1"/>
  <c r="G42" i="17"/>
  <c r="J42" i="17" s="1"/>
  <c r="G46" i="17"/>
  <c r="J46" i="17" s="1"/>
  <c r="G40" i="17"/>
  <c r="J40" i="17" s="1"/>
  <c r="G51" i="17"/>
  <c r="J51" i="17" s="1"/>
  <c r="F50" i="17"/>
  <c r="I50" i="17" s="1"/>
  <c r="G61" i="17"/>
  <c r="J61" i="17" s="1"/>
  <c r="G39" i="17"/>
  <c r="J39" i="17" s="1"/>
  <c r="G36" i="17"/>
  <c r="J36" i="17" s="1"/>
  <c r="G45" i="17"/>
  <c r="J45" i="17" s="1"/>
  <c r="F47" i="17"/>
  <c r="I47" i="17" s="1"/>
  <c r="G48" i="17"/>
  <c r="J48" i="17" s="1"/>
  <c r="G44" i="17"/>
  <c r="J44" i="17" s="1"/>
  <c r="G37" i="17"/>
  <c r="J37" i="17" s="1"/>
  <c r="G43" i="17"/>
  <c r="J43" i="17" s="1"/>
  <c r="G35" i="17"/>
  <c r="J35" i="17" s="1"/>
  <c r="G34" i="17"/>
  <c r="J34" i="17" s="1"/>
  <c r="F33" i="17"/>
  <c r="I33" i="17" s="1"/>
  <c r="G52" i="17"/>
  <c r="J52" i="17" s="1"/>
  <c r="G57" i="17"/>
  <c r="J57" i="17" s="1"/>
  <c r="G58" i="17"/>
  <c r="J58" i="17" s="1"/>
  <c r="G53" i="17"/>
  <c r="J53" i="17" s="1"/>
  <c r="G56" i="17"/>
  <c r="J56" i="17" s="1"/>
  <c r="F65" i="17"/>
  <c r="I65" i="17" s="1"/>
  <c r="G63" i="17"/>
  <c r="J63" i="17" s="1"/>
  <c r="G55" i="17"/>
  <c r="J55" i="17" s="1"/>
  <c r="G41" i="17"/>
  <c r="J41" i="17" s="1"/>
  <c r="G38" i="17"/>
  <c r="J38" i="17" s="1"/>
  <c r="G49" i="17"/>
  <c r="J49" i="17" s="1"/>
  <c r="G54" i="17"/>
  <c r="J54" i="17" s="1"/>
  <c r="G50" i="18"/>
  <c r="J50" i="18" s="1"/>
  <c r="R65" i="13" l="1"/>
  <c r="R50" i="13"/>
  <c r="R50" i="16"/>
  <c r="R65" i="16"/>
  <c r="G47" i="17"/>
  <c r="J47" i="17" s="1"/>
  <c r="G65" i="17"/>
  <c r="J65" i="17" s="1"/>
  <c r="G50" i="17"/>
  <c r="J50" i="17" s="1"/>
  <c r="G33" i="17"/>
  <c r="J33" i="17" s="1"/>
  <c r="D31" i="7" l="1"/>
  <c r="D30" i="7"/>
  <c r="D29" i="7"/>
  <c r="D28" i="7"/>
  <c r="D27" i="7"/>
  <c r="D26" i="7"/>
  <c r="D25" i="7"/>
  <c r="D24" i="7"/>
  <c r="D23" i="7"/>
  <c r="D22" i="7"/>
  <c r="D21" i="7"/>
  <c r="D20" i="7"/>
  <c r="D19" i="7"/>
  <c r="D18" i="7"/>
  <c r="D17" i="7"/>
  <c r="D16" i="7"/>
  <c r="D15" i="7"/>
  <c r="D14" i="7"/>
  <c r="D13" i="7"/>
  <c r="D12" i="7"/>
  <c r="D11" i="7"/>
  <c r="D10" i="7"/>
  <c r="D9" i="7"/>
  <c r="D8" i="7"/>
  <c r="D7" i="7"/>
  <c r="D6" i="7"/>
  <c r="D5" i="7"/>
  <c r="D4" i="7"/>
  <c r="D3" i="7"/>
  <c r="E28" i="6"/>
  <c r="E4" i="6"/>
  <c r="E25" i="6"/>
  <c r="B15" i="6"/>
  <c r="B14" i="6"/>
  <c r="H11" i="6"/>
  <c r="E3" i="6"/>
  <c r="D32" i="15"/>
  <c r="C32" i="15"/>
  <c r="D31" i="15"/>
  <c r="C31" i="15"/>
  <c r="D30" i="15"/>
  <c r="C30" i="15"/>
  <c r="D29" i="15"/>
  <c r="C29" i="15"/>
  <c r="D28" i="15"/>
  <c r="C28" i="15"/>
  <c r="E28" i="15" s="1"/>
  <c r="K28" i="15" s="1"/>
  <c r="D27" i="15"/>
  <c r="C27" i="15"/>
  <c r="D26" i="15"/>
  <c r="C26" i="15"/>
  <c r="D25" i="15"/>
  <c r="C25" i="15"/>
  <c r="D24" i="15"/>
  <c r="C24" i="15"/>
  <c r="D23" i="15"/>
  <c r="C23" i="15"/>
  <c r="D22" i="15"/>
  <c r="C22" i="15"/>
  <c r="D21" i="15"/>
  <c r="C21" i="15"/>
  <c r="D20" i="15"/>
  <c r="E20" i="15" s="1"/>
  <c r="K20" i="15" s="1"/>
  <c r="C20" i="15"/>
  <c r="D19" i="15"/>
  <c r="C19" i="15"/>
  <c r="D18" i="15"/>
  <c r="C18" i="15"/>
  <c r="D17" i="15"/>
  <c r="C17" i="15"/>
  <c r="D16" i="15"/>
  <c r="C16" i="15"/>
  <c r="E16" i="15" s="1"/>
  <c r="K16" i="15" s="1"/>
  <c r="D15" i="15"/>
  <c r="C15" i="15"/>
  <c r="D14" i="15"/>
  <c r="C14" i="15"/>
  <c r="D13" i="15"/>
  <c r="C13" i="15"/>
  <c r="D12" i="15"/>
  <c r="E12" i="15" s="1"/>
  <c r="K12" i="15" s="1"/>
  <c r="C12" i="15"/>
  <c r="D11" i="15"/>
  <c r="C11" i="15"/>
  <c r="D10" i="15"/>
  <c r="C10" i="15"/>
  <c r="E10" i="15" s="1"/>
  <c r="K10" i="15" s="1"/>
  <c r="D9" i="15"/>
  <c r="C9" i="15"/>
  <c r="D8" i="15"/>
  <c r="E8" i="15" s="1"/>
  <c r="K8" i="15" s="1"/>
  <c r="C8" i="15"/>
  <c r="D7" i="15"/>
  <c r="C7" i="15"/>
  <c r="D6" i="15"/>
  <c r="C6" i="15"/>
  <c r="D4" i="15"/>
  <c r="C4" i="15"/>
  <c r="D32" i="12"/>
  <c r="D31" i="12"/>
  <c r="D30" i="12"/>
  <c r="D29" i="12"/>
  <c r="D28" i="12"/>
  <c r="D27" i="12"/>
  <c r="D26" i="12"/>
  <c r="D25" i="12"/>
  <c r="D24" i="12"/>
  <c r="D23" i="12"/>
  <c r="D22" i="12"/>
  <c r="D21" i="12"/>
  <c r="D20" i="12"/>
  <c r="D19" i="12"/>
  <c r="D18" i="12"/>
  <c r="D17" i="12"/>
  <c r="D16" i="12"/>
  <c r="D15" i="12"/>
  <c r="D14" i="12"/>
  <c r="D13" i="12"/>
  <c r="D12" i="12"/>
  <c r="D11" i="12"/>
  <c r="D10" i="12"/>
  <c r="D9" i="12"/>
  <c r="D8" i="12"/>
  <c r="D7" i="12"/>
  <c r="D6" i="12"/>
  <c r="D4" i="12"/>
  <c r="C5" i="15"/>
  <c r="E5" i="15" s="1"/>
  <c r="K5" i="15" s="1"/>
  <c r="D5" i="15"/>
  <c r="D5" i="12"/>
  <c r="I34" i="13"/>
  <c r="J34" i="16"/>
  <c r="I34" i="16"/>
  <c r="J34" i="13"/>
  <c r="E30" i="15"/>
  <c r="K30" i="15" s="1"/>
  <c r="E29" i="15"/>
  <c r="K29" i="15" s="1"/>
  <c r="E31" i="15"/>
  <c r="K31" i="15" s="1"/>
  <c r="E15" i="15"/>
  <c r="K15" i="15" s="1"/>
  <c r="E18" i="15"/>
  <c r="K18" i="15" s="1"/>
  <c r="E19" i="15"/>
  <c r="K19" i="15" s="1"/>
  <c r="E21" i="15"/>
  <c r="K21" i="15" s="1"/>
  <c r="E23" i="15"/>
  <c r="K23" i="15" s="1"/>
  <c r="E27" i="15"/>
  <c r="K27" i="15" s="1"/>
  <c r="I48" i="13"/>
  <c r="K48" i="13"/>
  <c r="L48" i="16"/>
  <c r="I38" i="16"/>
  <c r="K37" i="16"/>
  <c r="J40" i="13"/>
  <c r="J40" i="16"/>
  <c r="I43" i="13"/>
  <c r="H39" i="16"/>
  <c r="K42" i="13"/>
  <c r="J42" i="16"/>
  <c r="J35" i="13"/>
  <c r="I35" i="16"/>
  <c r="J36" i="13"/>
  <c r="I36" i="16"/>
  <c r="J44" i="13"/>
  <c r="H44" i="13"/>
  <c r="I44" i="16"/>
  <c r="I51" i="13"/>
  <c r="K51" i="13"/>
  <c r="H51" i="16"/>
  <c r="L46" i="16"/>
  <c r="K45" i="13"/>
  <c r="J45" i="13"/>
  <c r="J45" i="16"/>
  <c r="J48" i="16"/>
  <c r="I38" i="13"/>
  <c r="J38" i="16"/>
  <c r="I37" i="13"/>
  <c r="H37" i="13"/>
  <c r="H37" i="16"/>
  <c r="K40" i="13"/>
  <c r="H40" i="16"/>
  <c r="H43" i="13"/>
  <c r="L43" i="16"/>
  <c r="H41" i="13"/>
  <c r="I39" i="13"/>
  <c r="H39" i="13"/>
  <c r="L39" i="16"/>
  <c r="I42" i="13"/>
  <c r="K42" i="16"/>
  <c r="K35" i="13"/>
  <c r="K35" i="16"/>
  <c r="K36" i="13"/>
  <c r="K36" i="16"/>
  <c r="K44" i="13"/>
  <c r="I44" i="13"/>
  <c r="K44" i="16"/>
  <c r="J44" i="16"/>
  <c r="J51" i="13"/>
  <c r="I51" i="16"/>
  <c r="L51" i="16"/>
  <c r="J49" i="13"/>
  <c r="L49" i="13"/>
  <c r="I46" i="13"/>
  <c r="H46" i="13"/>
  <c r="J46" i="16"/>
  <c r="I45" i="13"/>
  <c r="H45" i="16"/>
  <c r="K45" i="16"/>
  <c r="H48" i="13"/>
  <c r="J48" i="13"/>
  <c r="K48" i="16"/>
  <c r="K38" i="13"/>
  <c r="J38" i="13"/>
  <c r="H38" i="16"/>
  <c r="K38" i="16"/>
  <c r="K37" i="13"/>
  <c r="L37" i="13"/>
  <c r="I37" i="16"/>
  <c r="L37" i="16"/>
  <c r="H40" i="13"/>
  <c r="L40" i="16"/>
  <c r="L43" i="13"/>
  <c r="J43" i="13"/>
  <c r="L41" i="13"/>
  <c r="I41" i="16"/>
  <c r="J39" i="13"/>
  <c r="L39" i="13"/>
  <c r="J39" i="16"/>
  <c r="I39" i="16"/>
  <c r="H42" i="16"/>
  <c r="L35" i="13"/>
  <c r="H35" i="16"/>
  <c r="L36" i="13"/>
  <c r="I36" i="13"/>
  <c r="H36" i="16"/>
  <c r="L44" i="13"/>
  <c r="H44" i="16"/>
  <c r="L51" i="13"/>
  <c r="J51" i="16"/>
  <c r="K49" i="13"/>
  <c r="H49" i="16"/>
  <c r="J46" i="13"/>
  <c r="L46" i="13"/>
  <c r="I46" i="16"/>
  <c r="K46" i="16"/>
  <c r="H45" i="13"/>
  <c r="L45" i="16"/>
  <c r="L48" i="13"/>
  <c r="H38" i="13"/>
  <c r="L38" i="16"/>
  <c r="J37" i="13"/>
  <c r="J37" i="16"/>
  <c r="I40" i="13"/>
  <c r="L40" i="13"/>
  <c r="I40" i="16"/>
  <c r="K43" i="13"/>
  <c r="J43" i="16"/>
  <c r="K41" i="13"/>
  <c r="J41" i="16"/>
  <c r="K39" i="13"/>
  <c r="K39" i="16"/>
  <c r="L42" i="13"/>
  <c r="J42" i="13"/>
  <c r="I42" i="16"/>
  <c r="H35" i="13"/>
  <c r="I35" i="13"/>
  <c r="J35" i="16"/>
  <c r="L35" i="16"/>
  <c r="H36" i="13"/>
  <c r="J36" i="16"/>
  <c r="L36" i="16"/>
  <c r="L44" i="16"/>
  <c r="H51" i="13"/>
  <c r="K51" i="16"/>
  <c r="I49" i="13"/>
  <c r="L49" i="16"/>
  <c r="K46" i="13"/>
  <c r="H46" i="16"/>
  <c r="L45" i="13"/>
  <c r="I45" i="16"/>
  <c r="K40" i="16"/>
  <c r="I48" i="16"/>
  <c r="K41" i="16"/>
  <c r="H41" i="16"/>
  <c r="H34" i="16"/>
  <c r="I49" i="16"/>
  <c r="L34" i="16"/>
  <c r="H34" i="13"/>
  <c r="H49" i="13"/>
  <c r="L34" i="13"/>
  <c r="L38" i="13"/>
  <c r="K34" i="13"/>
  <c r="L41" i="16"/>
  <c r="E32" i="15"/>
  <c r="K32" i="15" s="1"/>
  <c r="K43" i="16"/>
  <c r="E24" i="6"/>
  <c r="C21" i="12"/>
  <c r="C22" i="12"/>
  <c r="C15" i="12"/>
  <c r="C29" i="12"/>
  <c r="E4" i="15" l="1"/>
  <c r="K4" i="15" s="1"/>
  <c r="D68" i="15"/>
  <c r="D54" i="15"/>
  <c r="J7" i="15"/>
  <c r="G7" i="15"/>
  <c r="D39" i="15"/>
  <c r="J24" i="15"/>
  <c r="G24" i="15"/>
  <c r="G39" i="15" s="1"/>
  <c r="E24" i="15"/>
  <c r="K24" i="15" s="1"/>
  <c r="K39" i="15" s="1"/>
  <c r="D42" i="12"/>
  <c r="J6" i="12"/>
  <c r="G6" i="12"/>
  <c r="G42" i="12" s="1"/>
  <c r="D67" i="12"/>
  <c r="D53" i="12"/>
  <c r="J23" i="12"/>
  <c r="G23" i="12"/>
  <c r="D66" i="12"/>
  <c r="D52" i="12"/>
  <c r="J27" i="12"/>
  <c r="G27" i="12"/>
  <c r="C43" i="15"/>
  <c r="I10" i="15"/>
  <c r="I43" i="15" s="1"/>
  <c r="F10" i="15"/>
  <c r="F43" i="15" s="1"/>
  <c r="I12" i="15"/>
  <c r="C48" i="15"/>
  <c r="F12" i="15"/>
  <c r="F48" i="15" s="1"/>
  <c r="I13" i="15"/>
  <c r="C41" i="15"/>
  <c r="F13" i="15"/>
  <c r="F41" i="15" s="1"/>
  <c r="C36" i="15"/>
  <c r="I16" i="15"/>
  <c r="F16" i="15"/>
  <c r="F36" i="15" s="1"/>
  <c r="C44" i="15"/>
  <c r="I21" i="15"/>
  <c r="I44" i="15" s="1"/>
  <c r="F21" i="15"/>
  <c r="F44" i="15" s="1"/>
  <c r="C51" i="15"/>
  <c r="I25" i="15"/>
  <c r="F25" i="15"/>
  <c r="F51" i="15" s="1"/>
  <c r="D37" i="15"/>
  <c r="J32" i="15"/>
  <c r="G32" i="15"/>
  <c r="G37" i="15" s="1"/>
  <c r="D68" i="12"/>
  <c r="D54" i="12"/>
  <c r="J7" i="12"/>
  <c r="G7" i="12"/>
  <c r="D37" i="12"/>
  <c r="J32" i="12"/>
  <c r="G32" i="12"/>
  <c r="G37" i="12" s="1"/>
  <c r="D43" i="15"/>
  <c r="J10" i="15"/>
  <c r="J43" i="15" s="1"/>
  <c r="G10" i="15"/>
  <c r="G43" i="15" s="1"/>
  <c r="D48" i="15"/>
  <c r="J12" i="15"/>
  <c r="G12" i="15"/>
  <c r="G48" i="15" s="1"/>
  <c r="D41" i="15"/>
  <c r="J13" i="15"/>
  <c r="G13" i="15"/>
  <c r="G41" i="15" s="1"/>
  <c r="D36" i="15"/>
  <c r="J16" i="15"/>
  <c r="G16" i="15"/>
  <c r="G36" i="15" s="1"/>
  <c r="D44" i="15"/>
  <c r="J21" i="15"/>
  <c r="G21" i="15"/>
  <c r="G44" i="15" s="1"/>
  <c r="D51" i="15"/>
  <c r="J25" i="15"/>
  <c r="G25" i="15"/>
  <c r="G51" i="15" s="1"/>
  <c r="D41" i="12"/>
  <c r="J13" i="12"/>
  <c r="J41" i="12" s="1"/>
  <c r="G13" i="12"/>
  <c r="G41" i="12" s="1"/>
  <c r="C75" i="15"/>
  <c r="C61" i="15"/>
  <c r="I9" i="15"/>
  <c r="F9" i="15"/>
  <c r="C71" i="15"/>
  <c r="C57" i="15"/>
  <c r="I11" i="15"/>
  <c r="F11" i="15"/>
  <c r="C77" i="15"/>
  <c r="C63" i="15"/>
  <c r="I14" i="15"/>
  <c r="F14" i="15"/>
  <c r="C70" i="15"/>
  <c r="C56" i="15"/>
  <c r="I19" i="15"/>
  <c r="F19" i="15"/>
  <c r="C72" i="15"/>
  <c r="C58" i="15"/>
  <c r="I22" i="15"/>
  <c r="F22" i="15"/>
  <c r="I26" i="15"/>
  <c r="C69" i="15"/>
  <c r="C55" i="15"/>
  <c r="F26" i="15"/>
  <c r="C38" i="15"/>
  <c r="E38" i="15" s="1"/>
  <c r="I28" i="15"/>
  <c r="F28" i="15"/>
  <c r="F38" i="15" s="1"/>
  <c r="C45" i="15"/>
  <c r="I30" i="15"/>
  <c r="I45" i="15" s="1"/>
  <c r="F30" i="15"/>
  <c r="F45" i="15" s="1"/>
  <c r="D45" i="12"/>
  <c r="J30" i="12"/>
  <c r="G30" i="12"/>
  <c r="G45" i="12" s="1"/>
  <c r="D75" i="15"/>
  <c r="D61" i="15"/>
  <c r="J9" i="15"/>
  <c r="G9" i="15"/>
  <c r="D71" i="15"/>
  <c r="D57" i="15"/>
  <c r="E57" i="15" s="1"/>
  <c r="J11" i="15"/>
  <c r="G11" i="15"/>
  <c r="D77" i="15"/>
  <c r="D63" i="15"/>
  <c r="J14" i="15"/>
  <c r="G14" i="15"/>
  <c r="D70" i="15"/>
  <c r="D56" i="15"/>
  <c r="J19" i="15"/>
  <c r="G19" i="15"/>
  <c r="D72" i="15"/>
  <c r="D58" i="15"/>
  <c r="J22" i="15"/>
  <c r="G22" i="15"/>
  <c r="D69" i="15"/>
  <c r="D55" i="15"/>
  <c r="J26" i="15"/>
  <c r="G26" i="15"/>
  <c r="D38" i="15"/>
  <c r="J28" i="15"/>
  <c r="G28" i="15"/>
  <c r="G38" i="15" s="1"/>
  <c r="D45" i="15"/>
  <c r="J30" i="15"/>
  <c r="G30" i="15"/>
  <c r="G45" i="15" s="1"/>
  <c r="D78" i="12"/>
  <c r="D64" i="12"/>
  <c r="J29" i="12"/>
  <c r="G29" i="12"/>
  <c r="D40" i="15"/>
  <c r="J4" i="15"/>
  <c r="G4" i="15"/>
  <c r="G40" i="15" s="1"/>
  <c r="C44" i="12"/>
  <c r="I21" i="12"/>
  <c r="F21" i="12"/>
  <c r="F44" i="12" s="1"/>
  <c r="D34" i="15"/>
  <c r="J5" i="15"/>
  <c r="G5" i="15"/>
  <c r="G34" i="15" s="1"/>
  <c r="D75" i="12"/>
  <c r="D61" i="12"/>
  <c r="J9" i="12"/>
  <c r="G9" i="12"/>
  <c r="C58" i="12"/>
  <c r="C72" i="12"/>
  <c r="I22" i="12"/>
  <c r="F22" i="12"/>
  <c r="C34" i="15"/>
  <c r="E34" i="15" s="1"/>
  <c r="I5" i="15"/>
  <c r="F5" i="15"/>
  <c r="F34" i="15" s="1"/>
  <c r="D76" i="12"/>
  <c r="D62" i="12"/>
  <c r="J20" i="12"/>
  <c r="G20" i="12"/>
  <c r="D73" i="12"/>
  <c r="D59" i="12"/>
  <c r="J31" i="12"/>
  <c r="G31" i="12"/>
  <c r="C49" i="15"/>
  <c r="I8" i="15"/>
  <c r="I49" i="15" s="1"/>
  <c r="F8" i="15"/>
  <c r="F49" i="15" s="1"/>
  <c r="C35" i="15"/>
  <c r="I15" i="15"/>
  <c r="F15" i="15"/>
  <c r="F35" i="15" s="1"/>
  <c r="C76" i="15"/>
  <c r="C62" i="15"/>
  <c r="I20" i="15"/>
  <c r="F20" i="15"/>
  <c r="C73" i="15"/>
  <c r="C59" i="15"/>
  <c r="I31" i="15"/>
  <c r="F31" i="15"/>
  <c r="D46" i="12"/>
  <c r="J17" i="12"/>
  <c r="G17" i="12"/>
  <c r="G46" i="12" s="1"/>
  <c r="D49" i="15"/>
  <c r="J8" i="15"/>
  <c r="G8" i="15"/>
  <c r="G49" i="15" s="1"/>
  <c r="D35" i="15"/>
  <c r="J15" i="15"/>
  <c r="G15" i="15"/>
  <c r="G35" i="15" s="1"/>
  <c r="D76" i="15"/>
  <c r="D62" i="15"/>
  <c r="J20" i="15"/>
  <c r="G20" i="15"/>
  <c r="D59" i="15"/>
  <c r="D73" i="15"/>
  <c r="J31" i="15"/>
  <c r="G31" i="15"/>
  <c r="D74" i="12"/>
  <c r="D60" i="12"/>
  <c r="J18" i="12"/>
  <c r="G18" i="12"/>
  <c r="C46" i="15"/>
  <c r="I17" i="15"/>
  <c r="I46" i="15" s="1"/>
  <c r="F17" i="15"/>
  <c r="F46" i="15" s="1"/>
  <c r="C78" i="15"/>
  <c r="C64" i="15"/>
  <c r="I29" i="15"/>
  <c r="F29" i="15"/>
  <c r="D34" i="12"/>
  <c r="J5" i="12"/>
  <c r="G5" i="12"/>
  <c r="G34" i="12" s="1"/>
  <c r="C64" i="12"/>
  <c r="E64" i="12" s="1"/>
  <c r="C78" i="12"/>
  <c r="I29" i="12"/>
  <c r="F29" i="12"/>
  <c r="D40" i="12"/>
  <c r="J4" i="12"/>
  <c r="G4" i="12"/>
  <c r="G40" i="12" s="1"/>
  <c r="D39" i="12"/>
  <c r="J24" i="12"/>
  <c r="G24" i="12"/>
  <c r="G39" i="12" s="1"/>
  <c r="D46" i="15"/>
  <c r="J17" i="15"/>
  <c r="J46" i="15" s="1"/>
  <c r="G17" i="15"/>
  <c r="G46" i="15" s="1"/>
  <c r="D78" i="15"/>
  <c r="J29" i="15"/>
  <c r="D64" i="15"/>
  <c r="G29" i="15"/>
  <c r="D43" i="12"/>
  <c r="J10" i="12"/>
  <c r="G10" i="12"/>
  <c r="G43" i="12" s="1"/>
  <c r="D48" i="12"/>
  <c r="J12" i="12"/>
  <c r="J48" i="12" s="1"/>
  <c r="G12" i="12"/>
  <c r="G48" i="12" s="1"/>
  <c r="D36" i="12"/>
  <c r="J16" i="12"/>
  <c r="G16" i="12"/>
  <c r="G36" i="12" s="1"/>
  <c r="D44" i="12"/>
  <c r="J21" i="12"/>
  <c r="G21" i="12"/>
  <c r="G44" i="12" s="1"/>
  <c r="D51" i="12"/>
  <c r="J25" i="12"/>
  <c r="J51" i="12" s="1"/>
  <c r="G25" i="12"/>
  <c r="G51" i="12" s="1"/>
  <c r="C42" i="15"/>
  <c r="I6" i="15"/>
  <c r="F6" i="15"/>
  <c r="F42" i="15" s="1"/>
  <c r="C60" i="15"/>
  <c r="C74" i="15"/>
  <c r="I18" i="15"/>
  <c r="F18" i="15"/>
  <c r="C67" i="15"/>
  <c r="E67" i="15" s="1"/>
  <c r="C53" i="15"/>
  <c r="I23" i="15"/>
  <c r="F23" i="15"/>
  <c r="C66" i="15"/>
  <c r="C52" i="15"/>
  <c r="I27" i="15"/>
  <c r="F27" i="15"/>
  <c r="D57" i="12"/>
  <c r="D71" i="12"/>
  <c r="J11" i="12"/>
  <c r="G11" i="12"/>
  <c r="D63" i="12"/>
  <c r="D77" i="12"/>
  <c r="J14" i="12"/>
  <c r="G14" i="12"/>
  <c r="D70" i="12"/>
  <c r="D56" i="12"/>
  <c r="J19" i="12"/>
  <c r="G19" i="12"/>
  <c r="D72" i="12"/>
  <c r="D58" i="12"/>
  <c r="J22" i="12"/>
  <c r="G22" i="12"/>
  <c r="D69" i="12"/>
  <c r="D55" i="12"/>
  <c r="J26" i="12"/>
  <c r="G26" i="12"/>
  <c r="D38" i="12"/>
  <c r="J28" i="12"/>
  <c r="G28" i="12"/>
  <c r="G38" i="12" s="1"/>
  <c r="D42" i="15"/>
  <c r="J6" i="15"/>
  <c r="J42" i="15" s="1"/>
  <c r="G6" i="15"/>
  <c r="G42" i="15" s="1"/>
  <c r="D74" i="15"/>
  <c r="D60" i="15"/>
  <c r="J18" i="15"/>
  <c r="G18" i="15"/>
  <c r="D53" i="15"/>
  <c r="D67" i="15"/>
  <c r="J23" i="15"/>
  <c r="G23" i="15"/>
  <c r="D66" i="15"/>
  <c r="D52" i="15"/>
  <c r="J27" i="15"/>
  <c r="G27" i="15"/>
  <c r="C35" i="12"/>
  <c r="I15" i="12"/>
  <c r="I35" i="12" s="1"/>
  <c r="F15" i="12"/>
  <c r="F35" i="12" s="1"/>
  <c r="D49" i="12"/>
  <c r="J8" i="12"/>
  <c r="J49" i="12" s="1"/>
  <c r="G8" i="12"/>
  <c r="G49" i="12" s="1"/>
  <c r="D35" i="12"/>
  <c r="J15" i="12"/>
  <c r="J35" i="12" s="1"/>
  <c r="G15" i="12"/>
  <c r="G35" i="12" s="1"/>
  <c r="C40" i="15"/>
  <c r="E40" i="15" s="1"/>
  <c r="I4" i="15"/>
  <c r="F4" i="15"/>
  <c r="F40" i="15" s="1"/>
  <c r="H40" i="15" s="1"/>
  <c r="C54" i="15"/>
  <c r="C68" i="15"/>
  <c r="E68" i="15" s="1"/>
  <c r="I7" i="15"/>
  <c r="F7" i="15"/>
  <c r="C39" i="15"/>
  <c r="E39" i="15" s="1"/>
  <c r="I24" i="15"/>
  <c r="F24" i="15"/>
  <c r="F39" i="15" s="1"/>
  <c r="H39" i="15" s="1"/>
  <c r="C37" i="15"/>
  <c r="E37" i="15" s="1"/>
  <c r="I32" i="15"/>
  <c r="I37" i="15" s="1"/>
  <c r="F32" i="15"/>
  <c r="F37" i="15" s="1"/>
  <c r="L47" i="13"/>
  <c r="H5" i="15"/>
  <c r="H20" i="15"/>
  <c r="H10" i="15"/>
  <c r="H12" i="15"/>
  <c r="H8" i="15"/>
  <c r="K35" i="15"/>
  <c r="H15" i="15"/>
  <c r="H31" i="15"/>
  <c r="K40" i="15"/>
  <c r="H4" i="15"/>
  <c r="H23" i="15"/>
  <c r="K36" i="15"/>
  <c r="H16" i="15"/>
  <c r="H29" i="15"/>
  <c r="H19" i="15"/>
  <c r="H30" i="15"/>
  <c r="K45" i="15"/>
  <c r="K37" i="15"/>
  <c r="H32" i="15"/>
  <c r="H27" i="15"/>
  <c r="H21" i="15"/>
  <c r="H18" i="15"/>
  <c r="H28" i="15"/>
  <c r="J47" i="13"/>
  <c r="J42" i="12"/>
  <c r="J37" i="12"/>
  <c r="J48" i="15"/>
  <c r="J41" i="15"/>
  <c r="J36" i="15"/>
  <c r="J44" i="15"/>
  <c r="J51" i="15"/>
  <c r="E9" i="15"/>
  <c r="K9" i="15" s="1"/>
  <c r="E11" i="15"/>
  <c r="K11" i="15" s="1"/>
  <c r="J38" i="15"/>
  <c r="J45" i="15"/>
  <c r="J46" i="12"/>
  <c r="J43" i="12"/>
  <c r="J36" i="12"/>
  <c r="J44" i="12"/>
  <c r="J38" i="12"/>
  <c r="J39" i="15"/>
  <c r="J37" i="15"/>
  <c r="J75" i="16"/>
  <c r="J61" i="16"/>
  <c r="K77" i="13"/>
  <c r="K63" i="13"/>
  <c r="J64" i="16"/>
  <c r="J78" i="16"/>
  <c r="L70" i="16"/>
  <c r="L56" i="16"/>
  <c r="I55" i="16"/>
  <c r="I69" i="16"/>
  <c r="J77" i="13"/>
  <c r="J63" i="13"/>
  <c r="K52" i="16"/>
  <c r="K66" i="16"/>
  <c r="H71" i="13"/>
  <c r="H57" i="13"/>
  <c r="J55" i="13"/>
  <c r="J69" i="13"/>
  <c r="L63" i="13"/>
  <c r="L77" i="13"/>
  <c r="L72" i="13"/>
  <c r="L58" i="13"/>
  <c r="I70" i="16"/>
  <c r="I56" i="16"/>
  <c r="K68" i="16"/>
  <c r="K54" i="16"/>
  <c r="H73" i="13"/>
  <c r="H59" i="13"/>
  <c r="H61" i="13"/>
  <c r="H75" i="13"/>
  <c r="L68" i="13"/>
  <c r="L54" i="13"/>
  <c r="I47" i="16"/>
  <c r="H53" i="13"/>
  <c r="H67" i="13"/>
  <c r="K75" i="13"/>
  <c r="K61" i="13"/>
  <c r="I68" i="16"/>
  <c r="I54" i="16"/>
  <c r="I64" i="13"/>
  <c r="I78" i="13"/>
  <c r="J55" i="16"/>
  <c r="J69" i="16"/>
  <c r="K66" i="13"/>
  <c r="K52" i="13"/>
  <c r="K72" i="16"/>
  <c r="K58" i="16"/>
  <c r="K69" i="13"/>
  <c r="K55" i="13"/>
  <c r="J60" i="16"/>
  <c r="J74" i="16"/>
  <c r="I63" i="13"/>
  <c r="I77" i="13"/>
  <c r="L78" i="16"/>
  <c r="L64" i="16"/>
  <c r="L70" i="13"/>
  <c r="L56" i="13"/>
  <c r="K60" i="13"/>
  <c r="K74" i="13"/>
  <c r="J67" i="16"/>
  <c r="J53" i="16"/>
  <c r="I69" i="13"/>
  <c r="I55" i="13"/>
  <c r="I58" i="13"/>
  <c r="I72" i="13"/>
  <c r="J59" i="16"/>
  <c r="J73" i="16"/>
  <c r="H60" i="16"/>
  <c r="H74" i="16"/>
  <c r="H64" i="13"/>
  <c r="H78" i="13"/>
  <c r="K72" i="13"/>
  <c r="K58" i="13"/>
  <c r="L47" i="16"/>
  <c r="H53" i="16"/>
  <c r="H67" i="16"/>
  <c r="K33" i="13"/>
  <c r="L33" i="13"/>
  <c r="J71" i="16"/>
  <c r="J57" i="16"/>
  <c r="L66" i="16"/>
  <c r="L52" i="16"/>
  <c r="L58" i="16"/>
  <c r="L72" i="16"/>
  <c r="I61" i="13"/>
  <c r="I75" i="13"/>
  <c r="K67" i="16"/>
  <c r="K53" i="16"/>
  <c r="J76" i="16"/>
  <c r="J62" i="16"/>
  <c r="L52" i="13"/>
  <c r="L66" i="13"/>
  <c r="K59" i="16"/>
  <c r="K73" i="16"/>
  <c r="J74" i="13"/>
  <c r="J60" i="13"/>
  <c r="K70" i="13"/>
  <c r="K56" i="13"/>
  <c r="H69" i="16"/>
  <c r="H55" i="16"/>
  <c r="K47" i="13"/>
  <c r="I74" i="16"/>
  <c r="I60" i="16"/>
  <c r="K64" i="16"/>
  <c r="K78" i="16"/>
  <c r="J66" i="13"/>
  <c r="J52" i="13"/>
  <c r="H72" i="13"/>
  <c r="H58" i="13"/>
  <c r="L67" i="13"/>
  <c r="L53" i="13"/>
  <c r="K76" i="16"/>
  <c r="K62" i="16"/>
  <c r="I73" i="13"/>
  <c r="I59" i="13"/>
  <c r="L69" i="13"/>
  <c r="L55" i="13"/>
  <c r="H64" i="16"/>
  <c r="H78" i="16"/>
  <c r="J56" i="16"/>
  <c r="J70" i="16"/>
  <c r="L57" i="16"/>
  <c r="L71" i="16"/>
  <c r="I76" i="13"/>
  <c r="I62" i="13"/>
  <c r="J59" i="13"/>
  <c r="J73" i="13"/>
  <c r="I47" i="13"/>
  <c r="J68" i="16"/>
  <c r="J54" i="16"/>
  <c r="I71" i="16"/>
  <c r="I57" i="16"/>
  <c r="K55" i="16"/>
  <c r="K69" i="16"/>
  <c r="H52" i="16"/>
  <c r="H66" i="16"/>
  <c r="H72" i="16"/>
  <c r="H58" i="16"/>
  <c r="H73" i="16"/>
  <c r="H59" i="16"/>
  <c r="H56" i="16"/>
  <c r="H70" i="16"/>
  <c r="I76" i="16"/>
  <c r="I62" i="16"/>
  <c r="J64" i="13"/>
  <c r="J78" i="13"/>
  <c r="J72" i="13"/>
  <c r="J58" i="13"/>
  <c r="H70" i="13"/>
  <c r="H56" i="13"/>
  <c r="L73" i="16"/>
  <c r="L59" i="16"/>
  <c r="H69" i="13"/>
  <c r="H55" i="13"/>
  <c r="H66" i="13"/>
  <c r="H52" i="13"/>
  <c r="J76" i="13"/>
  <c r="J62" i="13"/>
  <c r="L73" i="13"/>
  <c r="L59" i="13"/>
  <c r="H47" i="13"/>
  <c r="I56" i="13"/>
  <c r="I70" i="13"/>
  <c r="H62" i="13"/>
  <c r="H76" i="13"/>
  <c r="L53" i="16"/>
  <c r="L67" i="16"/>
  <c r="K78" i="13"/>
  <c r="K64" i="13"/>
  <c r="J56" i="13"/>
  <c r="J70" i="13"/>
  <c r="K73" i="13"/>
  <c r="K59" i="13"/>
  <c r="I67" i="16"/>
  <c r="I53" i="16"/>
  <c r="J67" i="13"/>
  <c r="J53" i="13"/>
  <c r="L62" i="16"/>
  <c r="L76" i="16"/>
  <c r="I74" i="13"/>
  <c r="I60" i="13"/>
  <c r="H76" i="16"/>
  <c r="H62" i="16"/>
  <c r="J33" i="16"/>
  <c r="L54" i="16"/>
  <c r="L68" i="16"/>
  <c r="I53" i="13"/>
  <c r="I67" i="13"/>
  <c r="I66" i="16"/>
  <c r="I52" i="16"/>
  <c r="L62" i="13"/>
  <c r="L76" i="13"/>
  <c r="H68" i="16"/>
  <c r="H54" i="16"/>
  <c r="K62" i="13"/>
  <c r="K76" i="13"/>
  <c r="K60" i="16"/>
  <c r="K74" i="16"/>
  <c r="H57" i="16"/>
  <c r="H71" i="16"/>
  <c r="L74" i="16"/>
  <c r="L60" i="16"/>
  <c r="J63" i="16"/>
  <c r="J77" i="16"/>
  <c r="I78" i="16"/>
  <c r="I64" i="16"/>
  <c r="I52" i="13"/>
  <c r="I66" i="13"/>
  <c r="I58" i="16"/>
  <c r="I72" i="16"/>
  <c r="L77" i="16"/>
  <c r="L63" i="16"/>
  <c r="H60" i="13"/>
  <c r="H74" i="13"/>
  <c r="H77" i="16"/>
  <c r="H63" i="16"/>
  <c r="L61" i="16"/>
  <c r="L75" i="16"/>
  <c r="L60" i="13"/>
  <c r="L74" i="13"/>
  <c r="K63" i="16"/>
  <c r="K77" i="16"/>
  <c r="L78" i="13"/>
  <c r="L64" i="13"/>
  <c r="J52" i="16"/>
  <c r="J66" i="16"/>
  <c r="K67" i="13"/>
  <c r="K53" i="13"/>
  <c r="K71" i="16"/>
  <c r="K57" i="16"/>
  <c r="J75" i="13"/>
  <c r="J61" i="13"/>
  <c r="L55" i="16"/>
  <c r="L69" i="16"/>
  <c r="I63" i="16"/>
  <c r="I77" i="16"/>
  <c r="J72" i="16"/>
  <c r="J58" i="16"/>
  <c r="K56" i="16"/>
  <c r="K70" i="16"/>
  <c r="I71" i="13"/>
  <c r="I57" i="13"/>
  <c r="I59" i="16"/>
  <c r="I73" i="16"/>
  <c r="H63" i="13"/>
  <c r="H77" i="13"/>
  <c r="E6" i="15"/>
  <c r="K6" i="15" s="1"/>
  <c r="I40" i="15"/>
  <c r="K53" i="15"/>
  <c r="K67" i="15"/>
  <c r="I41" i="15"/>
  <c r="I36" i="15"/>
  <c r="K66" i="15"/>
  <c r="K52" i="15"/>
  <c r="E26" i="15"/>
  <c r="K26" i="15" s="1"/>
  <c r="K60" i="15"/>
  <c r="K74" i="15"/>
  <c r="I35" i="15"/>
  <c r="I44" i="12"/>
  <c r="J34" i="15"/>
  <c r="I42" i="15"/>
  <c r="I34" i="15"/>
  <c r="I39" i="15"/>
  <c r="J40" i="15"/>
  <c r="I48" i="15"/>
  <c r="I51" i="15"/>
  <c r="E22" i="15"/>
  <c r="K22" i="15" s="1"/>
  <c r="E13" i="15"/>
  <c r="K13" i="15" s="1"/>
  <c r="E14" i="15"/>
  <c r="K14" i="15" s="1"/>
  <c r="I38" i="15"/>
  <c r="J45" i="12"/>
  <c r="E17" i="15"/>
  <c r="K17" i="15" s="1"/>
  <c r="E25" i="15"/>
  <c r="K25" i="15" s="1"/>
  <c r="J49" i="15"/>
  <c r="J35" i="15"/>
  <c r="J34" i="12"/>
  <c r="J40" i="12"/>
  <c r="J39" i="12"/>
  <c r="K34" i="15"/>
  <c r="K49" i="15"/>
  <c r="K44" i="15"/>
  <c r="K43" i="15"/>
  <c r="K38" i="15"/>
  <c r="K48" i="15"/>
  <c r="C30" i="12"/>
  <c r="C16" i="12"/>
  <c r="C25" i="12"/>
  <c r="C27" i="12"/>
  <c r="C5" i="12"/>
  <c r="C11" i="12"/>
  <c r="C8" i="12"/>
  <c r="C31" i="12"/>
  <c r="C17" i="12"/>
  <c r="E17" i="12" s="1"/>
  <c r="K17" i="12" s="1"/>
  <c r="C10" i="12"/>
  <c r="C6" i="12"/>
  <c r="C18" i="12"/>
  <c r="C14" i="12"/>
  <c r="E14" i="12" s="1"/>
  <c r="K14" i="12" s="1"/>
  <c r="C20" i="12"/>
  <c r="C4" i="12"/>
  <c r="C9" i="12"/>
  <c r="C19" i="12"/>
  <c r="C12" i="12"/>
  <c r="C24" i="12"/>
  <c r="C7" i="12"/>
  <c r="C13" i="12"/>
  <c r="C26" i="12"/>
  <c r="C32" i="12"/>
  <c r="C23" i="12"/>
  <c r="C28" i="12"/>
  <c r="E28" i="12" s="1"/>
  <c r="K28" i="12" s="1"/>
  <c r="E15" i="12"/>
  <c r="K15" i="12" s="1"/>
  <c r="E22" i="12"/>
  <c r="K22" i="12" s="1"/>
  <c r="D24" i="11"/>
  <c r="D29" i="11"/>
  <c r="D28" i="11"/>
  <c r="D26" i="11"/>
  <c r="D23" i="11"/>
  <c r="D15" i="11"/>
  <c r="D32" i="11"/>
  <c r="D22" i="11"/>
  <c r="D27" i="11"/>
  <c r="D18" i="11"/>
  <c r="D8" i="11"/>
  <c r="D31" i="11"/>
  <c r="D25" i="11"/>
  <c r="D19" i="11"/>
  <c r="D9" i="11"/>
  <c r="D4" i="11"/>
  <c r="D30" i="11"/>
  <c r="D21" i="11"/>
  <c r="D7" i="11"/>
  <c r="D11" i="11"/>
  <c r="D6" i="11"/>
  <c r="D20" i="11"/>
  <c r="D10" i="11"/>
  <c r="D16" i="11"/>
  <c r="D5" i="11"/>
  <c r="D12" i="11"/>
  <c r="D17" i="11"/>
  <c r="D13" i="11"/>
  <c r="D14" i="11"/>
  <c r="D18" i="14"/>
  <c r="D17" i="14"/>
  <c r="D31" i="14"/>
  <c r="D20" i="14"/>
  <c r="D30" i="14"/>
  <c r="D32" i="14"/>
  <c r="D27" i="14"/>
  <c r="D23" i="14"/>
  <c r="D29" i="14"/>
  <c r="D25" i="14"/>
  <c r="D21" i="14"/>
  <c r="D16" i="14"/>
  <c r="D24" i="14"/>
  <c r="D28" i="14"/>
  <c r="D26" i="14"/>
  <c r="D4" i="14"/>
  <c r="D19" i="14"/>
  <c r="D15" i="14"/>
  <c r="D5" i="14"/>
  <c r="D8" i="14"/>
  <c r="D22" i="14"/>
  <c r="D6" i="14"/>
  <c r="D11" i="14"/>
  <c r="D14" i="14"/>
  <c r="D13" i="14"/>
  <c r="D9" i="14"/>
  <c r="D12" i="14"/>
  <c r="D10" i="14"/>
  <c r="D7" i="14"/>
  <c r="C25" i="14"/>
  <c r="C21" i="14"/>
  <c r="C24" i="14"/>
  <c r="C17" i="14"/>
  <c r="C31" i="14"/>
  <c r="C20" i="14"/>
  <c r="C30" i="14"/>
  <c r="C32" i="14"/>
  <c r="C27" i="14"/>
  <c r="C23" i="14"/>
  <c r="C29" i="14"/>
  <c r="C15" i="14"/>
  <c r="C7" i="14"/>
  <c r="C12" i="14"/>
  <c r="C6" i="14"/>
  <c r="C5" i="14"/>
  <c r="C22" i="14"/>
  <c r="C8" i="14"/>
  <c r="C18" i="14"/>
  <c r="C14" i="14"/>
  <c r="C16" i="14"/>
  <c r="C11" i="14"/>
  <c r="C19" i="14"/>
  <c r="C10" i="14"/>
  <c r="C13" i="14"/>
  <c r="E13" i="14" s="1"/>
  <c r="K13" i="14" s="1"/>
  <c r="C4" i="14"/>
  <c r="C28" i="14"/>
  <c r="C26" i="14"/>
  <c r="C9" i="14"/>
  <c r="P35" i="13"/>
  <c r="R23" i="13"/>
  <c r="Q39" i="13"/>
  <c r="M38" i="13"/>
  <c r="P42" i="16"/>
  <c r="R8" i="16"/>
  <c r="N49" i="16"/>
  <c r="R15" i="16"/>
  <c r="N35" i="16"/>
  <c r="O46" i="16"/>
  <c r="Q39" i="16"/>
  <c r="M45" i="16"/>
  <c r="R5" i="13"/>
  <c r="N34" i="13"/>
  <c r="Q35" i="13"/>
  <c r="R19" i="13"/>
  <c r="M51" i="13"/>
  <c r="R28" i="13"/>
  <c r="N38" i="13"/>
  <c r="M49" i="13"/>
  <c r="Q42" i="16"/>
  <c r="O49" i="16"/>
  <c r="R9" i="16"/>
  <c r="M43" i="16"/>
  <c r="M48" i="16"/>
  <c r="O35" i="16"/>
  <c r="M36" i="16"/>
  <c r="P46" i="16"/>
  <c r="M44" i="16"/>
  <c r="M51" i="16"/>
  <c r="R30" i="16"/>
  <c r="N45" i="16"/>
  <c r="O34" i="13"/>
  <c r="R12" i="13"/>
  <c r="N48" i="13"/>
  <c r="R25" i="13"/>
  <c r="N51" i="13"/>
  <c r="O38" i="13"/>
  <c r="P49" i="16"/>
  <c r="R10" i="16"/>
  <c r="N43" i="16"/>
  <c r="R12" i="16"/>
  <c r="N48" i="16"/>
  <c r="P35" i="16"/>
  <c r="R16" i="16"/>
  <c r="N36" i="16"/>
  <c r="Q46" i="16"/>
  <c r="R21" i="16"/>
  <c r="N44" i="16"/>
  <c r="R25" i="16"/>
  <c r="N51" i="16"/>
  <c r="O45" i="16"/>
  <c r="M37" i="16"/>
  <c r="P34" i="13"/>
  <c r="O48" i="13"/>
  <c r="M44" i="13"/>
  <c r="O51" i="13"/>
  <c r="P38" i="13"/>
  <c r="M42" i="13"/>
  <c r="M40" i="16"/>
  <c r="R7" i="16"/>
  <c r="Q49" i="16"/>
  <c r="O43" i="16"/>
  <c r="O48" i="16"/>
  <c r="Q35" i="16"/>
  <c r="O36" i="16"/>
  <c r="O44" i="16"/>
  <c r="O51" i="16"/>
  <c r="P45" i="16"/>
  <c r="R32" i="16"/>
  <c r="N37" i="16"/>
  <c r="Q34" i="13"/>
  <c r="R9" i="13"/>
  <c r="R10" i="13"/>
  <c r="N43" i="13"/>
  <c r="P48" i="13"/>
  <c r="M46" i="13"/>
  <c r="R21" i="13"/>
  <c r="N44" i="13"/>
  <c r="P51" i="13"/>
  <c r="Q38" i="13"/>
  <c r="M34" i="13"/>
  <c r="R4" i="16"/>
  <c r="N40" i="16"/>
  <c r="M34" i="16"/>
  <c r="P43" i="16"/>
  <c r="P48" i="16"/>
  <c r="P36" i="16"/>
  <c r="R18" i="16"/>
  <c r="P44" i="16"/>
  <c r="P51" i="16"/>
  <c r="Q45" i="16"/>
  <c r="O37" i="16"/>
  <c r="R6" i="13"/>
  <c r="N42" i="13"/>
  <c r="R8" i="13"/>
  <c r="N49" i="13"/>
  <c r="O43" i="13"/>
  <c r="Q49" i="13"/>
  <c r="R17" i="13"/>
  <c r="N46" i="13"/>
  <c r="O44" i="13"/>
  <c r="Q51" i="13"/>
  <c r="R26" i="13"/>
  <c r="M45" i="13"/>
  <c r="Q40" i="13"/>
  <c r="O40" i="16"/>
  <c r="R5" i="16"/>
  <c r="N34" i="16"/>
  <c r="Q43" i="16"/>
  <c r="Q48" i="16"/>
  <c r="Q36" i="16"/>
  <c r="Q44" i="16"/>
  <c r="Q51" i="16"/>
  <c r="R29" i="16"/>
  <c r="P37" i="16"/>
  <c r="O42" i="13"/>
  <c r="O49" i="13"/>
  <c r="P43" i="13"/>
  <c r="Q48" i="13"/>
  <c r="R14" i="13"/>
  <c r="O46" i="13"/>
  <c r="P44" i="13"/>
  <c r="R30" i="13"/>
  <c r="N45" i="13"/>
  <c r="P40" i="13"/>
  <c r="P40" i="16"/>
  <c r="O34" i="16"/>
  <c r="R20" i="16"/>
  <c r="M38" i="16"/>
  <c r="R31" i="16"/>
  <c r="Q37" i="16"/>
  <c r="P42" i="13"/>
  <c r="P49" i="13"/>
  <c r="Q43" i="13"/>
  <c r="M36" i="13"/>
  <c r="P46" i="13"/>
  <c r="Q44" i="13"/>
  <c r="O45" i="13"/>
  <c r="M37" i="13"/>
  <c r="O40" i="13"/>
  <c r="Q40" i="16"/>
  <c r="P34" i="16"/>
  <c r="R11" i="16"/>
  <c r="M41" i="16"/>
  <c r="R14" i="16"/>
  <c r="R19" i="16"/>
  <c r="R22" i="16"/>
  <c r="R26" i="16"/>
  <c r="R28" i="16"/>
  <c r="N38" i="16"/>
  <c r="Q42" i="13"/>
  <c r="R11" i="13"/>
  <c r="R13" i="13"/>
  <c r="N41" i="13"/>
  <c r="R16" i="13"/>
  <c r="N36" i="13"/>
  <c r="Q46" i="13"/>
  <c r="R20" i="13"/>
  <c r="M39" i="13"/>
  <c r="R27" i="13"/>
  <c r="P45" i="13"/>
  <c r="R32" i="13"/>
  <c r="N37" i="13"/>
  <c r="M41" i="13"/>
  <c r="R4" i="13"/>
  <c r="N40" i="13"/>
  <c r="Q34" i="16"/>
  <c r="R13" i="16"/>
  <c r="N41" i="16"/>
  <c r="M39" i="16"/>
  <c r="O38" i="16"/>
  <c r="R7" i="13"/>
  <c r="O41" i="13"/>
  <c r="M35" i="13"/>
  <c r="O36" i="13"/>
  <c r="R22" i="13"/>
  <c r="R24" i="13"/>
  <c r="N39" i="13"/>
  <c r="Q45" i="13"/>
  <c r="O37" i="13"/>
  <c r="M48" i="13"/>
  <c r="M40" i="13"/>
  <c r="M42" i="16"/>
  <c r="O41" i="16"/>
  <c r="R24" i="16"/>
  <c r="N39" i="16"/>
  <c r="P38" i="16"/>
  <c r="P41" i="13"/>
  <c r="R15" i="13"/>
  <c r="N35" i="13"/>
  <c r="P36" i="13"/>
  <c r="R18" i="13"/>
  <c r="O39" i="13"/>
  <c r="R29" i="13"/>
  <c r="P37" i="13"/>
  <c r="R6" i="16"/>
  <c r="N42" i="16"/>
  <c r="P41" i="16"/>
  <c r="M46" i="16"/>
  <c r="R23" i="16"/>
  <c r="O39" i="16"/>
  <c r="R27" i="16"/>
  <c r="Q38" i="16"/>
  <c r="Q41" i="13"/>
  <c r="O35" i="13"/>
  <c r="Q36" i="13"/>
  <c r="P39" i="13"/>
  <c r="R31" i="13"/>
  <c r="Q37" i="13"/>
  <c r="M43" i="13"/>
  <c r="O42" i="16"/>
  <c r="M49" i="16"/>
  <c r="Q41" i="16"/>
  <c r="M35" i="16"/>
  <c r="R17" i="16"/>
  <c r="N46" i="16"/>
  <c r="P39" i="16"/>
  <c r="K34" i="16"/>
  <c r="K33" i="16" s="1"/>
  <c r="E16" i="14"/>
  <c r="K16" i="14" s="1"/>
  <c r="E23" i="14"/>
  <c r="K23" i="14" s="1"/>
  <c r="E27" i="12"/>
  <c r="K27" i="12" s="1"/>
  <c r="E32" i="12"/>
  <c r="K32" i="12" s="1"/>
  <c r="E21" i="12"/>
  <c r="K21" i="12" s="1"/>
  <c r="E7" i="12"/>
  <c r="K7" i="12" s="1"/>
  <c r="E16" i="12"/>
  <c r="K16" i="12" s="1"/>
  <c r="E20" i="12"/>
  <c r="K20" i="12" s="1"/>
  <c r="E31" i="12"/>
  <c r="K31" i="12" s="1"/>
  <c r="E26" i="12"/>
  <c r="K26" i="12" s="1"/>
  <c r="E18" i="12"/>
  <c r="K18" i="12" s="1"/>
  <c r="I43" i="16"/>
  <c r="I33" i="16" s="1"/>
  <c r="E13" i="12"/>
  <c r="K13" i="12" s="1"/>
  <c r="E4" i="12"/>
  <c r="K4" i="12" s="1"/>
  <c r="H42" i="13"/>
  <c r="H33" i="13" s="1"/>
  <c r="E7" i="15"/>
  <c r="K7" i="15" s="1"/>
  <c r="J41" i="13"/>
  <c r="J33" i="13" s="1"/>
  <c r="E10" i="12"/>
  <c r="K10" i="12" s="1"/>
  <c r="K49" i="16"/>
  <c r="K47" i="16" s="1"/>
  <c r="I41" i="13"/>
  <c r="I33" i="13" s="1"/>
  <c r="H43" i="16"/>
  <c r="H33" i="16" s="1"/>
  <c r="J49" i="16"/>
  <c r="J47" i="16" s="1"/>
  <c r="H48" i="16"/>
  <c r="H47" i="16" s="1"/>
  <c r="L42" i="16"/>
  <c r="L33" i="16" s="1"/>
  <c r="E19" i="12"/>
  <c r="K19" i="12" s="1"/>
  <c r="E9" i="12"/>
  <c r="K9" i="12" s="1"/>
  <c r="E29" i="12"/>
  <c r="K29" i="12" s="1"/>
  <c r="E6" i="12"/>
  <c r="K6" i="12" s="1"/>
  <c r="E25" i="12"/>
  <c r="K25" i="12" s="1"/>
  <c r="E11" i="12"/>
  <c r="K11" i="12" s="1"/>
  <c r="H24" i="15" l="1"/>
  <c r="E55" i="15"/>
  <c r="E72" i="15"/>
  <c r="E5" i="14"/>
  <c r="K5" i="14" s="1"/>
  <c r="E4" i="14"/>
  <c r="K4" i="14" s="1"/>
  <c r="E45" i="15"/>
  <c r="E69" i="15"/>
  <c r="E61" i="15"/>
  <c r="H49" i="15"/>
  <c r="E64" i="15"/>
  <c r="E70" i="15"/>
  <c r="G47" i="12"/>
  <c r="E42" i="15"/>
  <c r="H37" i="15"/>
  <c r="E53" i="15"/>
  <c r="C75" i="14"/>
  <c r="C61" i="14"/>
  <c r="I9" i="14"/>
  <c r="F9" i="14"/>
  <c r="C42" i="12"/>
  <c r="E42" i="12" s="1"/>
  <c r="I6" i="12"/>
  <c r="F6" i="12"/>
  <c r="F42" i="12" s="1"/>
  <c r="H42" i="12" s="1"/>
  <c r="F68" i="15"/>
  <c r="F54" i="15"/>
  <c r="C38" i="14"/>
  <c r="I28" i="14"/>
  <c r="I38" i="14" s="1"/>
  <c r="F28" i="14"/>
  <c r="F38" i="14" s="1"/>
  <c r="C77" i="14"/>
  <c r="C63" i="14"/>
  <c r="I14" i="14"/>
  <c r="F14" i="14"/>
  <c r="C45" i="12"/>
  <c r="E45" i="12" s="1"/>
  <c r="I30" i="12"/>
  <c r="I45" i="12" s="1"/>
  <c r="F30" i="12"/>
  <c r="F45" i="12" s="1"/>
  <c r="H45" i="12" s="1"/>
  <c r="H35" i="12"/>
  <c r="G66" i="15"/>
  <c r="G52" i="15"/>
  <c r="E52" i="15"/>
  <c r="G78" i="15"/>
  <c r="G64" i="15"/>
  <c r="E78" i="12"/>
  <c r="G76" i="15"/>
  <c r="G62" i="15"/>
  <c r="G77" i="15"/>
  <c r="G63" i="15"/>
  <c r="E43" i="15"/>
  <c r="G52" i="12"/>
  <c r="G66" i="12"/>
  <c r="G67" i="12"/>
  <c r="G53" i="12"/>
  <c r="C78" i="14"/>
  <c r="C64" i="14"/>
  <c r="I29" i="14"/>
  <c r="F29" i="14"/>
  <c r="C44" i="14"/>
  <c r="I21" i="14"/>
  <c r="F21" i="14"/>
  <c r="F44" i="14" s="1"/>
  <c r="C39" i="12"/>
  <c r="E39" i="12" s="1"/>
  <c r="I24" i="12"/>
  <c r="F24" i="12"/>
  <c r="F39" i="12" s="1"/>
  <c r="H39" i="12" s="1"/>
  <c r="C74" i="12"/>
  <c r="E74" i="12" s="1"/>
  <c r="C60" i="12"/>
  <c r="E60" i="12" s="1"/>
  <c r="I18" i="12"/>
  <c r="F18" i="12"/>
  <c r="C57" i="12"/>
  <c r="E57" i="12" s="1"/>
  <c r="C71" i="12"/>
  <c r="E71" i="12" s="1"/>
  <c r="I11" i="12"/>
  <c r="F11" i="12"/>
  <c r="E66" i="15"/>
  <c r="C65" i="15"/>
  <c r="I65" i="15" s="1"/>
  <c r="F76" i="15"/>
  <c r="H76" i="15" s="1"/>
  <c r="F62" i="15"/>
  <c r="H62" i="15" s="1"/>
  <c r="H35" i="15"/>
  <c r="E75" i="15"/>
  <c r="G47" i="15"/>
  <c r="H48" i="15"/>
  <c r="H47" i="15" s="1"/>
  <c r="F47" i="15"/>
  <c r="C38" i="12"/>
  <c r="E38" i="12" s="1"/>
  <c r="I28" i="12"/>
  <c r="I38" i="12" s="1"/>
  <c r="F28" i="12"/>
  <c r="F38" i="12" s="1"/>
  <c r="H38" i="12" s="1"/>
  <c r="E54" i="15"/>
  <c r="E35" i="12"/>
  <c r="G73" i="15"/>
  <c r="G59" i="15"/>
  <c r="F58" i="12"/>
  <c r="H58" i="12" s="1"/>
  <c r="F72" i="12"/>
  <c r="G71" i="15"/>
  <c r="G57" i="15"/>
  <c r="F70" i="15"/>
  <c r="F56" i="15"/>
  <c r="H44" i="15"/>
  <c r="E48" i="15"/>
  <c r="C47" i="15"/>
  <c r="I47" i="15" s="1"/>
  <c r="C57" i="14"/>
  <c r="C71" i="14"/>
  <c r="I11" i="14"/>
  <c r="F11" i="14"/>
  <c r="C46" i="14"/>
  <c r="I17" i="14"/>
  <c r="F17" i="14"/>
  <c r="F46" i="14" s="1"/>
  <c r="D65" i="15"/>
  <c r="F78" i="15"/>
  <c r="F64" i="15"/>
  <c r="F73" i="15"/>
  <c r="F59" i="15"/>
  <c r="H59" i="15" s="1"/>
  <c r="E62" i="15"/>
  <c r="C33" i="15"/>
  <c r="I33" i="15" s="1"/>
  <c r="E35" i="15"/>
  <c r="D47" i="15"/>
  <c r="J47" i="15" s="1"/>
  <c r="H36" i="15"/>
  <c r="D65" i="12"/>
  <c r="C70" i="14"/>
  <c r="C56" i="14"/>
  <c r="I19" i="14"/>
  <c r="F19" i="14"/>
  <c r="E8" i="14"/>
  <c r="K8" i="14" s="1"/>
  <c r="C49" i="14"/>
  <c r="I8" i="14"/>
  <c r="F8" i="14"/>
  <c r="F49" i="14" s="1"/>
  <c r="C41" i="14"/>
  <c r="I13" i="14"/>
  <c r="I41" i="14" s="1"/>
  <c r="F13" i="14"/>
  <c r="F41" i="14" s="1"/>
  <c r="C42" i="14"/>
  <c r="I6" i="14"/>
  <c r="F6" i="14"/>
  <c r="F42" i="14" s="1"/>
  <c r="C37" i="14"/>
  <c r="I32" i="14"/>
  <c r="F32" i="14"/>
  <c r="F37" i="14" s="1"/>
  <c r="C73" i="14"/>
  <c r="C59" i="14"/>
  <c r="I31" i="14"/>
  <c r="F31" i="14"/>
  <c r="C67" i="12"/>
  <c r="E67" i="12" s="1"/>
  <c r="C53" i="12"/>
  <c r="E53" i="12" s="1"/>
  <c r="I23" i="12"/>
  <c r="F23" i="12"/>
  <c r="C70" i="12"/>
  <c r="E70" i="12" s="1"/>
  <c r="C56" i="12"/>
  <c r="E56" i="12" s="1"/>
  <c r="I19" i="12"/>
  <c r="F19" i="12"/>
  <c r="C66" i="12"/>
  <c r="C52" i="12"/>
  <c r="E52" i="12" s="1"/>
  <c r="I27" i="12"/>
  <c r="F27" i="12"/>
  <c r="C51" i="12"/>
  <c r="I25" i="12"/>
  <c r="F25" i="12"/>
  <c r="F51" i="12" s="1"/>
  <c r="C36" i="12"/>
  <c r="E36" i="12" s="1"/>
  <c r="I16" i="12"/>
  <c r="F16" i="12"/>
  <c r="F36" i="12" s="1"/>
  <c r="H36" i="12" s="1"/>
  <c r="G71" i="12"/>
  <c r="G57" i="12"/>
  <c r="F74" i="15"/>
  <c r="F60" i="15"/>
  <c r="G33" i="12"/>
  <c r="E76" i="15"/>
  <c r="E49" i="15"/>
  <c r="E72" i="12"/>
  <c r="G61" i="12"/>
  <c r="G75" i="12"/>
  <c r="G72" i="15"/>
  <c r="G58" i="15"/>
  <c r="E56" i="15"/>
  <c r="F77" i="15"/>
  <c r="H77" i="15" s="1"/>
  <c r="F63" i="15"/>
  <c r="H63" i="15" s="1"/>
  <c r="G68" i="12"/>
  <c r="G54" i="12"/>
  <c r="E44" i="15"/>
  <c r="C66" i="14"/>
  <c r="C52" i="14"/>
  <c r="I27" i="14"/>
  <c r="F27" i="14"/>
  <c r="C51" i="14"/>
  <c r="I25" i="14"/>
  <c r="F25" i="14"/>
  <c r="F51" i="14" s="1"/>
  <c r="C37" i="12"/>
  <c r="E37" i="12" s="1"/>
  <c r="I32" i="12"/>
  <c r="I37" i="12" s="1"/>
  <c r="F32" i="12"/>
  <c r="F37" i="12" s="1"/>
  <c r="H37" i="12" s="1"/>
  <c r="C41" i="12"/>
  <c r="E41" i="12" s="1"/>
  <c r="I13" i="12"/>
  <c r="F13" i="12"/>
  <c r="F41" i="12" s="1"/>
  <c r="H41" i="12" s="1"/>
  <c r="C75" i="12"/>
  <c r="E75" i="12" s="1"/>
  <c r="C61" i="12"/>
  <c r="E61" i="12" s="1"/>
  <c r="I9" i="12"/>
  <c r="F9" i="12"/>
  <c r="C76" i="12"/>
  <c r="E76" i="12" s="1"/>
  <c r="C62" i="12"/>
  <c r="E62" i="12" s="1"/>
  <c r="I20" i="12"/>
  <c r="F20" i="12"/>
  <c r="C43" i="12"/>
  <c r="E43" i="12" s="1"/>
  <c r="I10" i="12"/>
  <c r="F10" i="12"/>
  <c r="F43" i="12" s="1"/>
  <c r="H43" i="12" s="1"/>
  <c r="E59" i="15"/>
  <c r="G73" i="12"/>
  <c r="G59" i="12"/>
  <c r="E58" i="12"/>
  <c r="H44" i="12"/>
  <c r="H51" i="15"/>
  <c r="E36" i="15"/>
  <c r="C43" i="14"/>
  <c r="I10" i="14"/>
  <c r="I43" i="14" s="1"/>
  <c r="F10" i="14"/>
  <c r="F43" i="14" s="1"/>
  <c r="C34" i="14"/>
  <c r="I5" i="14"/>
  <c r="F5" i="14"/>
  <c r="F34" i="14" s="1"/>
  <c r="C48" i="14"/>
  <c r="C47" i="14" s="1"/>
  <c r="I12" i="14"/>
  <c r="I48" i="14" s="1"/>
  <c r="F12" i="14"/>
  <c r="F48" i="14" s="1"/>
  <c r="F47" i="14" s="1"/>
  <c r="C67" i="14"/>
  <c r="C53" i="14"/>
  <c r="I23" i="14"/>
  <c r="F23" i="14"/>
  <c r="C69" i="12"/>
  <c r="E69" i="12" s="1"/>
  <c r="C55" i="12"/>
  <c r="E55" i="12" s="1"/>
  <c r="I26" i="12"/>
  <c r="F26" i="12"/>
  <c r="C73" i="12"/>
  <c r="E73" i="12" s="1"/>
  <c r="C59" i="12"/>
  <c r="E59" i="12" s="1"/>
  <c r="I31" i="12"/>
  <c r="F31" i="12"/>
  <c r="G74" i="15"/>
  <c r="G60" i="15"/>
  <c r="E74" i="15"/>
  <c r="H42" i="15"/>
  <c r="D33" i="12"/>
  <c r="E78" i="15"/>
  <c r="E73" i="15"/>
  <c r="G69" i="15"/>
  <c r="G55" i="15"/>
  <c r="G75" i="15"/>
  <c r="G61" i="15"/>
  <c r="E63" i="15"/>
  <c r="F71" i="15"/>
  <c r="F57" i="15"/>
  <c r="H41" i="15"/>
  <c r="G76" i="12"/>
  <c r="G62" i="12"/>
  <c r="E11" i="14"/>
  <c r="K11" i="14" s="1"/>
  <c r="K57" i="14" s="1"/>
  <c r="E10" i="14"/>
  <c r="K10" i="14" s="1"/>
  <c r="C36" i="14"/>
  <c r="I16" i="14"/>
  <c r="F16" i="14"/>
  <c r="F36" i="14" s="1"/>
  <c r="C49" i="12"/>
  <c r="E49" i="12" s="1"/>
  <c r="I8" i="12"/>
  <c r="F8" i="12"/>
  <c r="F49" i="12" s="1"/>
  <c r="H49" i="12" s="1"/>
  <c r="E60" i="15"/>
  <c r="H46" i="15"/>
  <c r="H34" i="15"/>
  <c r="F33" i="15"/>
  <c r="E44" i="12"/>
  <c r="E77" i="15"/>
  <c r="D50" i="15"/>
  <c r="E51" i="15"/>
  <c r="C50" i="15"/>
  <c r="E41" i="15"/>
  <c r="C72" i="14"/>
  <c r="C58" i="14"/>
  <c r="I22" i="14"/>
  <c r="F22" i="14"/>
  <c r="C68" i="14"/>
  <c r="C54" i="14"/>
  <c r="I7" i="14"/>
  <c r="F7" i="14"/>
  <c r="C45" i="14"/>
  <c r="I30" i="14"/>
  <c r="I45" i="14" s="1"/>
  <c r="F30" i="14"/>
  <c r="F45" i="14" s="1"/>
  <c r="C76" i="14"/>
  <c r="C62" i="14"/>
  <c r="I20" i="14"/>
  <c r="F20" i="14"/>
  <c r="C39" i="14"/>
  <c r="I24" i="14"/>
  <c r="F24" i="14"/>
  <c r="F39" i="14" s="1"/>
  <c r="C68" i="12"/>
  <c r="E68" i="12" s="1"/>
  <c r="C54" i="12"/>
  <c r="E54" i="12" s="1"/>
  <c r="I7" i="12"/>
  <c r="F7" i="12"/>
  <c r="C40" i="12"/>
  <c r="E40" i="12" s="1"/>
  <c r="I4" i="12"/>
  <c r="I40" i="12" s="1"/>
  <c r="F4" i="12"/>
  <c r="F40" i="12" s="1"/>
  <c r="H40" i="12" s="1"/>
  <c r="G70" i="12"/>
  <c r="G56" i="12"/>
  <c r="F67" i="15"/>
  <c r="F53" i="15"/>
  <c r="D47" i="12"/>
  <c r="J47" i="12" s="1"/>
  <c r="G33" i="15"/>
  <c r="G64" i="12"/>
  <c r="G78" i="12"/>
  <c r="F72" i="15"/>
  <c r="H72" i="15" s="1"/>
  <c r="F58" i="15"/>
  <c r="C46" i="12"/>
  <c r="E46" i="12" s="1"/>
  <c r="I17" i="12"/>
  <c r="I46" i="12" s="1"/>
  <c r="F17" i="12"/>
  <c r="F46" i="12" s="1"/>
  <c r="H46" i="12" s="1"/>
  <c r="C40" i="14"/>
  <c r="I4" i="14"/>
  <c r="F4" i="14"/>
  <c r="F40" i="14" s="1"/>
  <c r="C74" i="14"/>
  <c r="C60" i="14"/>
  <c r="I18" i="14"/>
  <c r="F18" i="14"/>
  <c r="C48" i="12"/>
  <c r="I12" i="12"/>
  <c r="I48" i="12" s="1"/>
  <c r="F12" i="12"/>
  <c r="F48" i="12" s="1"/>
  <c r="D50" i="12"/>
  <c r="E46" i="15"/>
  <c r="H38" i="15"/>
  <c r="E71" i="15"/>
  <c r="G68" i="15"/>
  <c r="G54" i="15"/>
  <c r="C55" i="14"/>
  <c r="C69" i="14"/>
  <c r="I26" i="14"/>
  <c r="F26" i="14"/>
  <c r="E7" i="14"/>
  <c r="K7" i="14" s="1"/>
  <c r="C35" i="14"/>
  <c r="I15" i="14"/>
  <c r="I35" i="14" s="1"/>
  <c r="F15" i="14"/>
  <c r="F35" i="14" s="1"/>
  <c r="C63" i="12"/>
  <c r="E63" i="12" s="1"/>
  <c r="C77" i="12"/>
  <c r="E77" i="12" s="1"/>
  <c r="I14" i="12"/>
  <c r="F14" i="12"/>
  <c r="C34" i="12"/>
  <c r="I5" i="12"/>
  <c r="F5" i="12"/>
  <c r="F34" i="12" s="1"/>
  <c r="G67" i="15"/>
  <c r="G53" i="15"/>
  <c r="G55" i="12"/>
  <c r="G69" i="12"/>
  <c r="G58" i="12"/>
  <c r="G72" i="12"/>
  <c r="G77" i="12"/>
  <c r="G63" i="12"/>
  <c r="F66" i="15"/>
  <c r="F52" i="15"/>
  <c r="H52" i="15" s="1"/>
  <c r="F64" i="12"/>
  <c r="H64" i="12" s="1"/>
  <c r="F78" i="12"/>
  <c r="G74" i="12"/>
  <c r="G60" i="12"/>
  <c r="D33" i="15"/>
  <c r="G70" i="15"/>
  <c r="G56" i="15"/>
  <c r="H45" i="15"/>
  <c r="F69" i="15"/>
  <c r="F55" i="15"/>
  <c r="E58" i="15"/>
  <c r="F75" i="15"/>
  <c r="H75" i="15" s="1"/>
  <c r="F61" i="15"/>
  <c r="H61" i="15" s="1"/>
  <c r="H43" i="15"/>
  <c r="J10" i="11"/>
  <c r="G10" i="11"/>
  <c r="D44" i="14"/>
  <c r="E44" i="14" s="1"/>
  <c r="J21" i="14"/>
  <c r="J44" i="14" s="1"/>
  <c r="G21" i="14"/>
  <c r="G44" i="14" s="1"/>
  <c r="H44" i="14" s="1"/>
  <c r="D37" i="14"/>
  <c r="E37" i="14" s="1"/>
  <c r="J32" i="14"/>
  <c r="G32" i="14"/>
  <c r="G37" i="14" s="1"/>
  <c r="D59" i="14"/>
  <c r="E59" i="14" s="1"/>
  <c r="D73" i="14"/>
  <c r="J31" i="14"/>
  <c r="G31" i="14"/>
  <c r="J12" i="11"/>
  <c r="G12" i="11"/>
  <c r="J23" i="11"/>
  <c r="G23" i="11"/>
  <c r="J29" i="14"/>
  <c r="D64" i="14"/>
  <c r="D78" i="14"/>
  <c r="E78" i="14" s="1"/>
  <c r="G29" i="14"/>
  <c r="D45" i="14"/>
  <c r="E45" i="14" s="1"/>
  <c r="J30" i="14"/>
  <c r="G30" i="14"/>
  <c r="G45" i="14" s="1"/>
  <c r="J22" i="11"/>
  <c r="G22" i="11"/>
  <c r="J28" i="11"/>
  <c r="G28" i="11"/>
  <c r="D48" i="14"/>
  <c r="J12" i="14"/>
  <c r="J48" i="14" s="1"/>
  <c r="G12" i="14"/>
  <c r="G48" i="14" s="1"/>
  <c r="D42" i="14"/>
  <c r="E42" i="14" s="1"/>
  <c r="J6" i="14"/>
  <c r="G6" i="14"/>
  <c r="G42" i="14" s="1"/>
  <c r="E15" i="14"/>
  <c r="K15" i="14" s="1"/>
  <c r="K35" i="14" s="1"/>
  <c r="D35" i="14"/>
  <c r="E35" i="14" s="1"/>
  <c r="J15" i="14"/>
  <c r="G15" i="14"/>
  <c r="G35" i="14" s="1"/>
  <c r="H35" i="14" s="1"/>
  <c r="J18" i="11"/>
  <c r="G18" i="11"/>
  <c r="J11" i="14"/>
  <c r="D71" i="14"/>
  <c r="D57" i="14"/>
  <c r="E57" i="14" s="1"/>
  <c r="G11" i="14"/>
  <c r="D70" i="14"/>
  <c r="J19" i="14"/>
  <c r="D56" i="14"/>
  <c r="G19" i="14"/>
  <c r="D76" i="14"/>
  <c r="E76" i="14" s="1"/>
  <c r="J20" i="14"/>
  <c r="D62" i="14"/>
  <c r="G20" i="14"/>
  <c r="J16" i="11"/>
  <c r="J36" i="11" s="1"/>
  <c r="G16" i="11"/>
  <c r="G36" i="11" s="1"/>
  <c r="J9" i="11"/>
  <c r="G9" i="11"/>
  <c r="J15" i="11"/>
  <c r="G15" i="11"/>
  <c r="J17" i="11"/>
  <c r="J46" i="11" s="1"/>
  <c r="G17" i="11"/>
  <c r="D54" i="14"/>
  <c r="D68" i="14"/>
  <c r="J7" i="14"/>
  <c r="G7" i="14"/>
  <c r="D69" i="14"/>
  <c r="E69" i="14" s="1"/>
  <c r="J26" i="14"/>
  <c r="D55" i="14"/>
  <c r="G26" i="14"/>
  <c r="D51" i="14"/>
  <c r="J25" i="14"/>
  <c r="J51" i="14" s="1"/>
  <c r="G25" i="14"/>
  <c r="G51" i="14" s="1"/>
  <c r="H51" i="14" s="1"/>
  <c r="J13" i="11"/>
  <c r="G13" i="11"/>
  <c r="J6" i="11"/>
  <c r="G6" i="11"/>
  <c r="J27" i="11"/>
  <c r="G27" i="11"/>
  <c r="D60" i="14"/>
  <c r="E60" i="14" s="1"/>
  <c r="D74" i="14"/>
  <c r="E74" i="14" s="1"/>
  <c r="J18" i="14"/>
  <c r="G18" i="14"/>
  <c r="J10" i="14"/>
  <c r="D43" i="14"/>
  <c r="E43" i="14" s="1"/>
  <c r="G10" i="14"/>
  <c r="G43" i="14" s="1"/>
  <c r="D41" i="14"/>
  <c r="J13" i="14"/>
  <c r="J41" i="14" s="1"/>
  <c r="G13" i="14"/>
  <c r="G41" i="14" s="1"/>
  <c r="H41" i="14" s="1"/>
  <c r="D36" i="14"/>
  <c r="J16" i="14"/>
  <c r="J36" i="14" s="1"/>
  <c r="G16" i="14"/>
  <c r="G36" i="14" s="1"/>
  <c r="H36" i="14" s="1"/>
  <c r="J14" i="11"/>
  <c r="G14" i="11"/>
  <c r="J20" i="11"/>
  <c r="G20" i="11"/>
  <c r="D63" i="14"/>
  <c r="E63" i="14" s="1"/>
  <c r="J14" i="14"/>
  <c r="D77" i="14"/>
  <c r="E77" i="14" s="1"/>
  <c r="G14" i="14"/>
  <c r="J22" i="14"/>
  <c r="D58" i="14"/>
  <c r="D72" i="14"/>
  <c r="E72" i="14" s="1"/>
  <c r="G22" i="14"/>
  <c r="J4" i="11"/>
  <c r="G4" i="11"/>
  <c r="J31" i="11"/>
  <c r="G31" i="11"/>
  <c r="J24" i="11"/>
  <c r="G24" i="11"/>
  <c r="G39" i="11" s="1"/>
  <c r="J28" i="14"/>
  <c r="J38" i="14" s="1"/>
  <c r="D38" i="14"/>
  <c r="G28" i="14"/>
  <c r="G38" i="14" s="1"/>
  <c r="D66" i="14"/>
  <c r="D52" i="14"/>
  <c r="E52" i="14" s="1"/>
  <c r="J27" i="14"/>
  <c r="G27" i="14"/>
  <c r="J8" i="11"/>
  <c r="G8" i="11"/>
  <c r="J32" i="11"/>
  <c r="J37" i="11" s="1"/>
  <c r="G32" i="11"/>
  <c r="G37" i="11" s="1"/>
  <c r="J29" i="11"/>
  <c r="G29" i="11"/>
  <c r="J24" i="14"/>
  <c r="D39" i="14"/>
  <c r="E39" i="14" s="1"/>
  <c r="G24" i="14"/>
  <c r="G39" i="14" s="1"/>
  <c r="H39" i="14" s="1"/>
  <c r="J23" i="14"/>
  <c r="D53" i="14"/>
  <c r="E53" i="14" s="1"/>
  <c r="D67" i="14"/>
  <c r="E67" i="14" s="1"/>
  <c r="G23" i="14"/>
  <c r="J11" i="11"/>
  <c r="G11" i="11"/>
  <c r="J25" i="11"/>
  <c r="J51" i="11" s="1"/>
  <c r="G25" i="11"/>
  <c r="D75" i="14"/>
  <c r="D61" i="14"/>
  <c r="E61" i="14" s="1"/>
  <c r="J9" i="14"/>
  <c r="G9" i="14"/>
  <c r="J5" i="14"/>
  <c r="D34" i="14"/>
  <c r="G5" i="14"/>
  <c r="G34" i="14" s="1"/>
  <c r="J17" i="14"/>
  <c r="D46" i="14"/>
  <c r="E46" i="14" s="1"/>
  <c r="G17" i="14"/>
  <c r="G46" i="14" s="1"/>
  <c r="H46" i="14" s="1"/>
  <c r="J7" i="11"/>
  <c r="G7" i="11"/>
  <c r="J21" i="11"/>
  <c r="G21" i="11"/>
  <c r="G44" i="11" s="1"/>
  <c r="J26" i="11"/>
  <c r="G26" i="11"/>
  <c r="J8" i="14"/>
  <c r="D49" i="14"/>
  <c r="E49" i="14" s="1"/>
  <c r="G8" i="14"/>
  <c r="G49" i="14" s="1"/>
  <c r="H49" i="14" s="1"/>
  <c r="J4" i="14"/>
  <c r="J40" i="14" s="1"/>
  <c r="D40" i="14"/>
  <c r="G4" i="14"/>
  <c r="G40" i="14" s="1"/>
  <c r="H40" i="14" s="1"/>
  <c r="J5" i="11"/>
  <c r="J34" i="11" s="1"/>
  <c r="G5" i="11"/>
  <c r="G34" i="11" s="1"/>
  <c r="J30" i="11"/>
  <c r="G30" i="11"/>
  <c r="G45" i="11" s="1"/>
  <c r="J19" i="11"/>
  <c r="G19" i="11"/>
  <c r="H26" i="15"/>
  <c r="H14" i="15"/>
  <c r="K42" i="15"/>
  <c r="H6" i="15"/>
  <c r="H25" i="15"/>
  <c r="K51" i="15"/>
  <c r="H11" i="15"/>
  <c r="H9" i="15"/>
  <c r="H13" i="15"/>
  <c r="K41" i="15"/>
  <c r="H17" i="15"/>
  <c r="K46" i="15"/>
  <c r="H7" i="15"/>
  <c r="H22" i="15"/>
  <c r="H13" i="14"/>
  <c r="H7" i="14"/>
  <c r="H16" i="14"/>
  <c r="H11" i="14"/>
  <c r="K34" i="14"/>
  <c r="H5" i="14"/>
  <c r="H23" i="14"/>
  <c r="H8" i="14"/>
  <c r="H10" i="14"/>
  <c r="H4" i="14"/>
  <c r="K40" i="14"/>
  <c r="H19" i="12"/>
  <c r="H27" i="12"/>
  <c r="H14" i="12"/>
  <c r="K38" i="12"/>
  <c r="H28" i="12"/>
  <c r="H7" i="12"/>
  <c r="H29" i="12"/>
  <c r="H22" i="12"/>
  <c r="K41" i="12"/>
  <c r="H13" i="12"/>
  <c r="K35" i="12"/>
  <c r="H15" i="12"/>
  <c r="K74" i="12"/>
  <c r="H18" i="12"/>
  <c r="K42" i="12"/>
  <c r="H6" i="12"/>
  <c r="K36" i="12"/>
  <c r="H16" i="12"/>
  <c r="H11" i="12"/>
  <c r="H31" i="12"/>
  <c r="K43" i="12"/>
  <c r="H10" i="12"/>
  <c r="K37" i="12"/>
  <c r="H32" i="12"/>
  <c r="K44" i="12"/>
  <c r="H21" i="12"/>
  <c r="K55" i="12"/>
  <c r="H26" i="12"/>
  <c r="H20" i="12"/>
  <c r="K51" i="12"/>
  <c r="H25" i="12"/>
  <c r="K46" i="12"/>
  <c r="H17" i="12"/>
  <c r="H9" i="12"/>
  <c r="H4" i="12"/>
  <c r="J33" i="15"/>
  <c r="J33" i="12"/>
  <c r="J65" i="15"/>
  <c r="D72" i="11"/>
  <c r="D58" i="11"/>
  <c r="I49" i="12"/>
  <c r="J68" i="15"/>
  <c r="J54" i="15"/>
  <c r="J76" i="12"/>
  <c r="J62" i="12"/>
  <c r="O58" i="13"/>
  <c r="O72" i="13"/>
  <c r="K70" i="12"/>
  <c r="K56" i="12"/>
  <c r="O78" i="13"/>
  <c r="O64" i="13"/>
  <c r="P76" i="13"/>
  <c r="P62" i="13"/>
  <c r="N71" i="13"/>
  <c r="N57" i="13"/>
  <c r="M66" i="13"/>
  <c r="M52" i="13"/>
  <c r="M63" i="13"/>
  <c r="M77" i="13"/>
  <c r="P53" i="13"/>
  <c r="P67" i="13"/>
  <c r="D46" i="11"/>
  <c r="D43" i="11"/>
  <c r="I50" i="13"/>
  <c r="J52" i="15"/>
  <c r="J66" i="15"/>
  <c r="J70" i="15"/>
  <c r="J56" i="15"/>
  <c r="J75" i="12"/>
  <c r="J61" i="12"/>
  <c r="K66" i="12"/>
  <c r="K52" i="12"/>
  <c r="Q76" i="13"/>
  <c r="Q62" i="13"/>
  <c r="M78" i="13"/>
  <c r="M64" i="13"/>
  <c r="P55" i="13"/>
  <c r="P69" i="13"/>
  <c r="O55" i="13"/>
  <c r="O69" i="13"/>
  <c r="P75" i="13"/>
  <c r="P61" i="13"/>
  <c r="N55" i="13"/>
  <c r="N69" i="13"/>
  <c r="O75" i="13"/>
  <c r="O61" i="13"/>
  <c r="P70" i="13"/>
  <c r="P56" i="13"/>
  <c r="P73" i="13"/>
  <c r="P59" i="13"/>
  <c r="D60" i="11"/>
  <c r="D74" i="11"/>
  <c r="J69" i="12"/>
  <c r="J55" i="12"/>
  <c r="J58" i="12"/>
  <c r="J72" i="12"/>
  <c r="J73" i="15"/>
  <c r="J59" i="15"/>
  <c r="J65" i="12"/>
  <c r="K63" i="12"/>
  <c r="K77" i="12"/>
  <c r="K68" i="12"/>
  <c r="K54" i="12"/>
  <c r="Q71" i="13"/>
  <c r="Q57" i="13"/>
  <c r="N52" i="13"/>
  <c r="N66" i="13"/>
  <c r="M72" i="13"/>
  <c r="M58" i="13"/>
  <c r="N67" i="13"/>
  <c r="N53" i="13"/>
  <c r="M70" i="13"/>
  <c r="M56" i="13"/>
  <c r="J43" i="14"/>
  <c r="D36" i="11"/>
  <c r="D75" i="11"/>
  <c r="D61" i="11"/>
  <c r="D35" i="11"/>
  <c r="I34" i="12"/>
  <c r="J55" i="15"/>
  <c r="J69" i="15"/>
  <c r="J78" i="12"/>
  <c r="J64" i="12"/>
  <c r="I64" i="12"/>
  <c r="I78" i="12"/>
  <c r="N76" i="13"/>
  <c r="N62" i="13"/>
  <c r="M62" i="13"/>
  <c r="M76" i="13"/>
  <c r="P60" i="13"/>
  <c r="P74" i="13"/>
  <c r="D41" i="11"/>
  <c r="D42" i="11"/>
  <c r="D66" i="11"/>
  <c r="D52" i="11"/>
  <c r="I42" i="12"/>
  <c r="J67" i="15"/>
  <c r="J53" i="15"/>
  <c r="I72" i="12"/>
  <c r="I58" i="12"/>
  <c r="J77" i="15"/>
  <c r="J63" i="15"/>
  <c r="O60" i="13"/>
  <c r="O74" i="13"/>
  <c r="M69" i="13"/>
  <c r="M55" i="13"/>
  <c r="K75" i="12"/>
  <c r="K61" i="12"/>
  <c r="K71" i="12"/>
  <c r="K57" i="12"/>
  <c r="Q69" i="13"/>
  <c r="Q55" i="13"/>
  <c r="O63" i="13"/>
  <c r="O77" i="13"/>
  <c r="Q64" i="13"/>
  <c r="Q78" i="13"/>
  <c r="Q58" i="13"/>
  <c r="Q72" i="13"/>
  <c r="D77" i="11"/>
  <c r="D63" i="11"/>
  <c r="D76" i="11"/>
  <c r="D62" i="11"/>
  <c r="J50" i="12"/>
  <c r="J64" i="15"/>
  <c r="J78" i="15"/>
  <c r="J62" i="15"/>
  <c r="J76" i="15"/>
  <c r="J67" i="12"/>
  <c r="J53" i="12"/>
  <c r="J42" i="14"/>
  <c r="K73" i="12"/>
  <c r="K59" i="12"/>
  <c r="O66" i="13"/>
  <c r="O52" i="13"/>
  <c r="M74" i="13"/>
  <c r="M60" i="13"/>
  <c r="Q75" i="13"/>
  <c r="Q61" i="13"/>
  <c r="N61" i="13"/>
  <c r="N75" i="13"/>
  <c r="Q67" i="13"/>
  <c r="Q53" i="13"/>
  <c r="J39" i="14"/>
  <c r="D40" i="11"/>
  <c r="D59" i="11"/>
  <c r="D73" i="11"/>
  <c r="D39" i="11"/>
  <c r="I39" i="12"/>
  <c r="H50" i="13"/>
  <c r="J50" i="15"/>
  <c r="P66" i="13"/>
  <c r="P52" i="13"/>
  <c r="O67" i="13"/>
  <c r="O53" i="13"/>
  <c r="D38" i="11"/>
  <c r="N72" i="13"/>
  <c r="N58" i="13"/>
  <c r="P77" i="13"/>
  <c r="P63" i="13"/>
  <c r="Q68" i="13"/>
  <c r="Q54" i="13"/>
  <c r="J34" i="14"/>
  <c r="J46" i="14"/>
  <c r="D49" i="11"/>
  <c r="D37" i="11"/>
  <c r="D78" i="11"/>
  <c r="D64" i="11"/>
  <c r="J50" i="16"/>
  <c r="J77" i="12"/>
  <c r="J63" i="12"/>
  <c r="J57" i="15"/>
  <c r="J71" i="15"/>
  <c r="Q56" i="13"/>
  <c r="Q70" i="13"/>
  <c r="K78" i="12"/>
  <c r="K64" i="12"/>
  <c r="M71" i="13"/>
  <c r="M57" i="13"/>
  <c r="M61" i="13"/>
  <c r="M75" i="13"/>
  <c r="O73" i="13"/>
  <c r="O59" i="13"/>
  <c r="J49" i="14"/>
  <c r="D71" i="11"/>
  <c r="D57" i="11"/>
  <c r="D51" i="11"/>
  <c r="J35" i="14"/>
  <c r="M73" i="13"/>
  <c r="M59" i="13"/>
  <c r="N74" i="13"/>
  <c r="N60" i="13"/>
  <c r="O68" i="13"/>
  <c r="O54" i="13"/>
  <c r="O76" i="13"/>
  <c r="O62" i="13"/>
  <c r="Q77" i="13"/>
  <c r="Q63" i="13"/>
  <c r="Q73" i="13"/>
  <c r="Q59" i="13"/>
  <c r="N56" i="13"/>
  <c r="N70" i="13"/>
  <c r="P64" i="13"/>
  <c r="P78" i="13"/>
  <c r="J37" i="14"/>
  <c r="D54" i="11"/>
  <c r="D68" i="11"/>
  <c r="D44" i="11"/>
  <c r="D69" i="11"/>
  <c r="D55" i="11"/>
  <c r="J74" i="15"/>
  <c r="J60" i="15"/>
  <c r="J56" i="12"/>
  <c r="J70" i="12"/>
  <c r="J59" i="12"/>
  <c r="J73" i="12"/>
  <c r="O70" i="13"/>
  <c r="O56" i="13"/>
  <c r="E12" i="14"/>
  <c r="K12" i="14" s="1"/>
  <c r="Q52" i="13"/>
  <c r="Q66" i="13"/>
  <c r="M67" i="13"/>
  <c r="M53" i="13"/>
  <c r="N78" i="13"/>
  <c r="N64" i="13"/>
  <c r="N77" i="13"/>
  <c r="N63" i="13"/>
  <c r="M54" i="13"/>
  <c r="M68" i="13"/>
  <c r="J45" i="14"/>
  <c r="D34" i="11"/>
  <c r="D45" i="11"/>
  <c r="D70" i="11"/>
  <c r="D56" i="11"/>
  <c r="I43" i="12"/>
  <c r="J71" i="12"/>
  <c r="J57" i="12"/>
  <c r="J58" i="15"/>
  <c r="J72" i="15"/>
  <c r="J61" i="15"/>
  <c r="J75" i="15"/>
  <c r="J68" i="12"/>
  <c r="J54" i="12"/>
  <c r="K62" i="12"/>
  <c r="K76" i="12"/>
  <c r="E8" i="12"/>
  <c r="K8" i="12" s="1"/>
  <c r="N59" i="13"/>
  <c r="N73" i="13"/>
  <c r="P72" i="13"/>
  <c r="P58" i="13"/>
  <c r="P68" i="13"/>
  <c r="P54" i="13"/>
  <c r="P57" i="13"/>
  <c r="P71" i="13"/>
  <c r="O57" i="13"/>
  <c r="O71" i="13"/>
  <c r="N54" i="13"/>
  <c r="N68" i="13"/>
  <c r="Q74" i="13"/>
  <c r="Q60" i="13"/>
  <c r="D48" i="11"/>
  <c r="D53" i="11"/>
  <c r="D67" i="11"/>
  <c r="K72" i="12"/>
  <c r="K58" i="12"/>
  <c r="J66" i="12"/>
  <c r="J52" i="12"/>
  <c r="J60" i="12"/>
  <c r="J74" i="12"/>
  <c r="H68" i="13"/>
  <c r="H54" i="13"/>
  <c r="Q70" i="16"/>
  <c r="Q56" i="16"/>
  <c r="P70" i="16"/>
  <c r="P56" i="16"/>
  <c r="P73" i="16"/>
  <c r="P59" i="16"/>
  <c r="O57" i="16"/>
  <c r="O71" i="16"/>
  <c r="N58" i="16"/>
  <c r="N72" i="16"/>
  <c r="Q74" i="16"/>
  <c r="Q60" i="16"/>
  <c r="N63" i="16"/>
  <c r="N77" i="16"/>
  <c r="P54" i="16"/>
  <c r="P68" i="16"/>
  <c r="O54" i="16"/>
  <c r="O68" i="16"/>
  <c r="Q66" i="16"/>
  <c r="Q52" i="16"/>
  <c r="H61" i="16"/>
  <c r="H50" i="16" s="1"/>
  <c r="H75" i="16"/>
  <c r="H65" i="16" s="1"/>
  <c r="I68" i="13"/>
  <c r="I54" i="13"/>
  <c r="N66" i="16"/>
  <c r="N52" i="16"/>
  <c r="N67" i="16"/>
  <c r="N53" i="16"/>
  <c r="M66" i="16"/>
  <c r="M52" i="16"/>
  <c r="M67" i="16"/>
  <c r="M53" i="16"/>
  <c r="P77" i="16"/>
  <c r="P63" i="16"/>
  <c r="N71" i="16"/>
  <c r="N57" i="16"/>
  <c r="O64" i="16"/>
  <c r="O78" i="16"/>
  <c r="M62" i="16"/>
  <c r="M76" i="16"/>
  <c r="J65" i="16"/>
  <c r="Q77" i="16"/>
  <c r="Q63" i="16"/>
  <c r="P69" i="16"/>
  <c r="P55" i="16"/>
  <c r="P58" i="16"/>
  <c r="P72" i="16"/>
  <c r="N55" i="16"/>
  <c r="N69" i="16"/>
  <c r="O62" i="16"/>
  <c r="O76" i="16"/>
  <c r="L61" i="13"/>
  <c r="L75" i="13"/>
  <c r="N54" i="16"/>
  <c r="N68" i="16"/>
  <c r="M54" i="16"/>
  <c r="M68" i="16"/>
  <c r="Q53" i="16"/>
  <c r="Q67" i="16"/>
  <c r="Q69" i="16"/>
  <c r="Q55" i="16"/>
  <c r="Q58" i="16"/>
  <c r="Q72" i="16"/>
  <c r="P57" i="16"/>
  <c r="P71" i="16"/>
  <c r="Q78" i="16"/>
  <c r="Q64" i="16"/>
  <c r="Q61" i="16"/>
  <c r="Q75" i="16"/>
  <c r="L71" i="13"/>
  <c r="L57" i="13"/>
  <c r="O66" i="16"/>
  <c r="O52" i="16"/>
  <c r="Q57" i="16"/>
  <c r="Q71" i="16"/>
  <c r="M78" i="16"/>
  <c r="M64" i="16"/>
  <c r="P61" i="16"/>
  <c r="P75" i="16"/>
  <c r="O61" i="16"/>
  <c r="O75" i="16"/>
  <c r="J71" i="13"/>
  <c r="J65" i="13" s="1"/>
  <c r="J57" i="13"/>
  <c r="J50" i="13" s="1"/>
  <c r="O53" i="16"/>
  <c r="O67" i="16"/>
  <c r="Q73" i="16"/>
  <c r="Q59" i="16"/>
  <c r="Q62" i="16"/>
  <c r="Q76" i="16"/>
  <c r="M70" i="16"/>
  <c r="M56" i="16"/>
  <c r="M59" i="16"/>
  <c r="M73" i="16"/>
  <c r="L50" i="16"/>
  <c r="P74" i="16"/>
  <c r="P60" i="16"/>
  <c r="N78" i="16"/>
  <c r="N64" i="16"/>
  <c r="K68" i="13"/>
  <c r="K54" i="13"/>
  <c r="O73" i="16"/>
  <c r="O59" i="16"/>
  <c r="M55" i="16"/>
  <c r="M69" i="16"/>
  <c r="M58" i="16"/>
  <c r="M72" i="16"/>
  <c r="N74" i="16"/>
  <c r="N60" i="16"/>
  <c r="K75" i="16"/>
  <c r="K65" i="16" s="1"/>
  <c r="K61" i="16"/>
  <c r="K50" i="16" s="1"/>
  <c r="P78" i="16"/>
  <c r="P64" i="16"/>
  <c r="N62" i="16"/>
  <c r="N76" i="16"/>
  <c r="L65" i="16"/>
  <c r="I75" i="16"/>
  <c r="I65" i="16" s="1"/>
  <c r="I61" i="16"/>
  <c r="I50" i="16" s="1"/>
  <c r="O69" i="16"/>
  <c r="O55" i="16"/>
  <c r="O70" i="16"/>
  <c r="O56" i="16"/>
  <c r="M63" i="16"/>
  <c r="M77" i="16"/>
  <c r="Q54" i="16"/>
  <c r="Q68" i="16"/>
  <c r="N75" i="16"/>
  <c r="N61" i="16"/>
  <c r="I65" i="13"/>
  <c r="H65" i="13"/>
  <c r="O58" i="16"/>
  <c r="O72" i="16"/>
  <c r="N70" i="16"/>
  <c r="N56" i="16"/>
  <c r="M71" i="16"/>
  <c r="M57" i="16"/>
  <c r="O74" i="16"/>
  <c r="O60" i="16"/>
  <c r="M74" i="16"/>
  <c r="M60" i="16"/>
  <c r="J68" i="13"/>
  <c r="J54" i="13"/>
  <c r="K71" i="13"/>
  <c r="K65" i="13" s="1"/>
  <c r="K57" i="13"/>
  <c r="K50" i="13" s="1"/>
  <c r="P62" i="16"/>
  <c r="P76" i="16"/>
  <c r="O77" i="16"/>
  <c r="O63" i="16"/>
  <c r="N59" i="16"/>
  <c r="N73" i="16"/>
  <c r="P66" i="16"/>
  <c r="P52" i="16"/>
  <c r="P53" i="16"/>
  <c r="P67" i="16"/>
  <c r="M75" i="16"/>
  <c r="M61" i="16"/>
  <c r="E29" i="14"/>
  <c r="L5" i="14"/>
  <c r="I40" i="14"/>
  <c r="I49" i="14"/>
  <c r="I44" i="14"/>
  <c r="I46" i="14"/>
  <c r="I42" i="14"/>
  <c r="I37" i="14"/>
  <c r="I51" i="14"/>
  <c r="I34" i="14"/>
  <c r="I36" i="14"/>
  <c r="I39" i="14"/>
  <c r="K63" i="15"/>
  <c r="K77" i="15"/>
  <c r="K76" i="15"/>
  <c r="K62" i="15"/>
  <c r="I60" i="15"/>
  <c r="I74" i="15"/>
  <c r="K59" i="15"/>
  <c r="K73" i="15"/>
  <c r="I50" i="15"/>
  <c r="K54" i="15"/>
  <c r="K68" i="15"/>
  <c r="K75" i="15"/>
  <c r="K61" i="15"/>
  <c r="K56" i="15"/>
  <c r="K70" i="15"/>
  <c r="I77" i="15"/>
  <c r="I63" i="15"/>
  <c r="I66" i="15"/>
  <c r="I52" i="15"/>
  <c r="K69" i="15"/>
  <c r="K55" i="15"/>
  <c r="I55" i="15"/>
  <c r="I69" i="15"/>
  <c r="I71" i="15"/>
  <c r="I57" i="15"/>
  <c r="I68" i="15"/>
  <c r="I54" i="15"/>
  <c r="I53" i="15"/>
  <c r="I67" i="15"/>
  <c r="I56" i="15"/>
  <c r="I70" i="15"/>
  <c r="I73" i="15"/>
  <c r="I59" i="15"/>
  <c r="K64" i="15"/>
  <c r="K78" i="15"/>
  <c r="I62" i="15"/>
  <c r="I76" i="15"/>
  <c r="I78" i="15"/>
  <c r="I64" i="15"/>
  <c r="I58" i="15"/>
  <c r="I72" i="15"/>
  <c r="I61" i="15"/>
  <c r="I75" i="15"/>
  <c r="K36" i="14"/>
  <c r="K49" i="14"/>
  <c r="K43" i="14"/>
  <c r="K67" i="14"/>
  <c r="K53" i="14"/>
  <c r="L13" i="14"/>
  <c r="K41" i="14"/>
  <c r="E14" i="14"/>
  <c r="K14" i="14" s="1"/>
  <c r="K40" i="12"/>
  <c r="E30" i="12"/>
  <c r="K30" i="12" s="1"/>
  <c r="E23" i="12"/>
  <c r="K23" i="12" s="1"/>
  <c r="I41" i="12"/>
  <c r="I51" i="12"/>
  <c r="I36" i="12"/>
  <c r="E24" i="12"/>
  <c r="K24" i="12" s="1"/>
  <c r="E12" i="12"/>
  <c r="K12" i="12" s="1"/>
  <c r="E5" i="12"/>
  <c r="K5" i="12" s="1"/>
  <c r="C10" i="11"/>
  <c r="E10" i="11" s="1"/>
  <c r="K10" i="11" s="1"/>
  <c r="C6" i="11"/>
  <c r="C26" i="11"/>
  <c r="C23" i="11"/>
  <c r="C7" i="11"/>
  <c r="C19" i="11"/>
  <c r="C16" i="11"/>
  <c r="C4" i="11"/>
  <c r="C27" i="11"/>
  <c r="C30" i="11"/>
  <c r="C18" i="11"/>
  <c r="E18" i="11" s="1"/>
  <c r="K18" i="11" s="1"/>
  <c r="C21" i="11"/>
  <c r="C29" i="11"/>
  <c r="E29" i="11" s="1"/>
  <c r="K29" i="11" s="1"/>
  <c r="C5" i="11"/>
  <c r="E5" i="11" s="1"/>
  <c r="K5" i="11" s="1"/>
  <c r="C28" i="11"/>
  <c r="C17" i="11"/>
  <c r="C25" i="11"/>
  <c r="C12" i="11"/>
  <c r="C22" i="11"/>
  <c r="E22" i="11" s="1"/>
  <c r="K22" i="11" s="1"/>
  <c r="C20" i="11"/>
  <c r="C24" i="11"/>
  <c r="C8" i="11"/>
  <c r="E8" i="11" s="1"/>
  <c r="K8" i="11" s="1"/>
  <c r="C32" i="11"/>
  <c r="C15" i="11"/>
  <c r="C31" i="11"/>
  <c r="E31" i="11" s="1"/>
  <c r="K31" i="11" s="1"/>
  <c r="C13" i="11"/>
  <c r="C9" i="11"/>
  <c r="C11" i="11"/>
  <c r="C14" i="11"/>
  <c r="E26" i="14"/>
  <c r="K26" i="14" s="1"/>
  <c r="E18" i="14"/>
  <c r="K18" i="14" s="1"/>
  <c r="E9" i="14"/>
  <c r="K9" i="14" s="1"/>
  <c r="E19" i="14"/>
  <c r="K19" i="14" s="1"/>
  <c r="E28" i="14"/>
  <c r="K28" i="14" s="1"/>
  <c r="E21" i="14"/>
  <c r="K21" i="14" s="1"/>
  <c r="E17" i="14"/>
  <c r="K17" i="14" s="1"/>
  <c r="E6" i="14"/>
  <c r="K6" i="14" s="1"/>
  <c r="E32" i="14"/>
  <c r="K32" i="14" s="1"/>
  <c r="E31" i="14"/>
  <c r="K31" i="14" s="1"/>
  <c r="E27" i="14"/>
  <c r="K27" i="14" s="1"/>
  <c r="E25" i="14"/>
  <c r="K25" i="14" s="1"/>
  <c r="E22" i="14"/>
  <c r="K22" i="14" s="1"/>
  <c r="E30" i="14"/>
  <c r="K30" i="14" s="1"/>
  <c r="E20" i="14"/>
  <c r="K20" i="14" s="1"/>
  <c r="E24" i="14"/>
  <c r="K24" i="14" s="1"/>
  <c r="L23" i="14"/>
  <c r="L16" i="14"/>
  <c r="L7" i="14"/>
  <c r="L8" i="14"/>
  <c r="L10" i="14"/>
  <c r="L4" i="14"/>
  <c r="J48" i="11"/>
  <c r="G48" i="11"/>
  <c r="E19" i="11"/>
  <c r="K19" i="11" s="1"/>
  <c r="E26" i="11"/>
  <c r="K26" i="11" s="1"/>
  <c r="E27" i="11"/>
  <c r="K27" i="11" s="1"/>
  <c r="J42" i="11"/>
  <c r="G42" i="11"/>
  <c r="E6" i="11"/>
  <c r="K6" i="11" s="1"/>
  <c r="J44" i="11"/>
  <c r="J39" i="11"/>
  <c r="E24" i="11"/>
  <c r="K24" i="11" s="1"/>
  <c r="J45" i="11"/>
  <c r="E30" i="11"/>
  <c r="K30" i="11" s="1"/>
  <c r="J41" i="11"/>
  <c r="G41" i="11"/>
  <c r="E13" i="11"/>
  <c r="K13" i="11" s="1"/>
  <c r="J49" i="11"/>
  <c r="G49" i="11"/>
  <c r="E23" i="11"/>
  <c r="K23" i="11" s="1"/>
  <c r="G51" i="11"/>
  <c r="E25" i="11"/>
  <c r="K25" i="11" s="1"/>
  <c r="J40" i="11"/>
  <c r="G40" i="11"/>
  <c r="E4" i="11"/>
  <c r="K4" i="11" s="1"/>
  <c r="E16" i="11"/>
  <c r="K16" i="11" s="1"/>
  <c r="E14" i="11"/>
  <c r="K14" i="11" s="1"/>
  <c r="G46" i="11"/>
  <c r="E17" i="11"/>
  <c r="K17" i="11" s="1"/>
  <c r="E7" i="11"/>
  <c r="K7" i="11" s="1"/>
  <c r="G35" i="11"/>
  <c r="J35" i="11"/>
  <c r="E15" i="11"/>
  <c r="K15" i="11" s="1"/>
  <c r="E9" i="11"/>
  <c r="K9" i="11" s="1"/>
  <c r="G43" i="11"/>
  <c r="J43" i="11"/>
  <c r="J38" i="11"/>
  <c r="G38" i="11"/>
  <c r="H73" i="15" l="1"/>
  <c r="H57" i="15"/>
  <c r="E33" i="15"/>
  <c r="K33" i="15" s="1"/>
  <c r="E58" i="14"/>
  <c r="E62" i="14"/>
  <c r="E68" i="14"/>
  <c r="E51" i="14"/>
  <c r="H37" i="14"/>
  <c r="L15" i="14"/>
  <c r="E38" i="14"/>
  <c r="E56" i="14"/>
  <c r="H42" i="14"/>
  <c r="E73" i="14"/>
  <c r="H55" i="15"/>
  <c r="H64" i="15"/>
  <c r="E41" i="14"/>
  <c r="H69" i="15"/>
  <c r="H15" i="14"/>
  <c r="E70" i="14"/>
  <c r="E64" i="14"/>
  <c r="E36" i="14"/>
  <c r="E40" i="14"/>
  <c r="E75" i="14"/>
  <c r="G50" i="12"/>
  <c r="H38" i="14"/>
  <c r="H43" i="14"/>
  <c r="H71" i="15"/>
  <c r="H45" i="14"/>
  <c r="L11" i="14"/>
  <c r="I27" i="11"/>
  <c r="F27" i="11"/>
  <c r="I16" i="11"/>
  <c r="F16" i="11"/>
  <c r="I19" i="11"/>
  <c r="F19" i="11"/>
  <c r="I10" i="11"/>
  <c r="F10" i="11"/>
  <c r="E71" i="14"/>
  <c r="C47" i="12"/>
  <c r="E48" i="12"/>
  <c r="E47" i="12" s="1"/>
  <c r="H53" i="15"/>
  <c r="F76" i="14"/>
  <c r="F62" i="14"/>
  <c r="F70" i="12"/>
  <c r="H70" i="12" s="1"/>
  <c r="F56" i="12"/>
  <c r="H56" i="12" s="1"/>
  <c r="F67" i="12"/>
  <c r="H67" i="12" s="1"/>
  <c r="F53" i="12"/>
  <c r="H53" i="12" s="1"/>
  <c r="E50" i="15"/>
  <c r="I12" i="11"/>
  <c r="F12" i="11"/>
  <c r="I28" i="11"/>
  <c r="F28" i="11"/>
  <c r="H67" i="15"/>
  <c r="F68" i="14"/>
  <c r="F54" i="14"/>
  <c r="H33" i="15"/>
  <c r="F33" i="14"/>
  <c r="F76" i="12"/>
  <c r="H76" i="12" s="1"/>
  <c r="F62" i="12"/>
  <c r="H62" i="12" s="1"/>
  <c r="H51" i="12"/>
  <c r="F71" i="12"/>
  <c r="H71" i="12" s="1"/>
  <c r="F57" i="12"/>
  <c r="H57" i="12" s="1"/>
  <c r="I13" i="11"/>
  <c r="F13" i="11"/>
  <c r="I15" i="11"/>
  <c r="F15" i="11"/>
  <c r="F77" i="12"/>
  <c r="H77" i="12" s="1"/>
  <c r="F63" i="12"/>
  <c r="H63" i="12" s="1"/>
  <c r="H78" i="15"/>
  <c r="G65" i="12"/>
  <c r="G65" i="15"/>
  <c r="I22" i="11"/>
  <c r="F22" i="11"/>
  <c r="I29" i="11"/>
  <c r="F29" i="11"/>
  <c r="E55" i="14"/>
  <c r="H34" i="12"/>
  <c r="H33" i="12" s="1"/>
  <c r="F33" i="12"/>
  <c r="F68" i="12"/>
  <c r="H68" i="12" s="1"/>
  <c r="F54" i="12"/>
  <c r="H54" i="12" s="1"/>
  <c r="C33" i="14"/>
  <c r="E51" i="12"/>
  <c r="E50" i="12" s="1"/>
  <c r="K50" i="12" s="1"/>
  <c r="C50" i="12"/>
  <c r="E11" i="11"/>
  <c r="K11" i="11" s="1"/>
  <c r="I11" i="11"/>
  <c r="F11" i="11"/>
  <c r="I31" i="11"/>
  <c r="F31" i="11"/>
  <c r="I24" i="11"/>
  <c r="F24" i="11"/>
  <c r="F53" i="14"/>
  <c r="F67" i="14"/>
  <c r="F66" i="14"/>
  <c r="F52" i="14"/>
  <c r="E47" i="15"/>
  <c r="K47" i="15" s="1"/>
  <c r="F63" i="14"/>
  <c r="F77" i="14"/>
  <c r="H54" i="15"/>
  <c r="I25" i="11"/>
  <c r="F25" i="11"/>
  <c r="I26" i="11"/>
  <c r="F26" i="11"/>
  <c r="G50" i="15"/>
  <c r="C33" i="12"/>
  <c r="E34" i="12"/>
  <c r="E33" i="12" s="1"/>
  <c r="H68" i="15"/>
  <c r="E12" i="11"/>
  <c r="K12" i="11" s="1"/>
  <c r="I18" i="11"/>
  <c r="F18" i="11"/>
  <c r="H58" i="15"/>
  <c r="F73" i="12"/>
  <c r="H73" i="12" s="1"/>
  <c r="F59" i="12"/>
  <c r="H59" i="12" s="1"/>
  <c r="F52" i="12"/>
  <c r="H52" i="12" s="1"/>
  <c r="F66" i="12"/>
  <c r="F73" i="14"/>
  <c r="F59" i="14"/>
  <c r="H56" i="15"/>
  <c r="E65" i="15"/>
  <c r="K65" i="15" s="1"/>
  <c r="I9" i="11"/>
  <c r="F9" i="11"/>
  <c r="E28" i="11"/>
  <c r="K28" i="11" s="1"/>
  <c r="K38" i="11" s="1"/>
  <c r="I30" i="11"/>
  <c r="F30" i="11"/>
  <c r="I7" i="11"/>
  <c r="F7" i="11"/>
  <c r="I6" i="11"/>
  <c r="F6" i="11"/>
  <c r="I5" i="11"/>
  <c r="F5" i="11"/>
  <c r="H78" i="12"/>
  <c r="F58" i="14"/>
  <c r="F72" i="14"/>
  <c r="F50" i="15"/>
  <c r="F61" i="12"/>
  <c r="H61" i="12" s="1"/>
  <c r="F75" i="12"/>
  <c r="H75" i="12" s="1"/>
  <c r="C50" i="14"/>
  <c r="I50" i="14" s="1"/>
  <c r="C65" i="14"/>
  <c r="I65" i="14" s="1"/>
  <c r="H60" i="15"/>
  <c r="F56" i="14"/>
  <c r="F70" i="14"/>
  <c r="H70" i="15"/>
  <c r="F75" i="14"/>
  <c r="F61" i="14"/>
  <c r="F60" i="14"/>
  <c r="F74" i="14"/>
  <c r="I32" i="11"/>
  <c r="I37" i="11" s="1"/>
  <c r="F32" i="11"/>
  <c r="I20" i="11"/>
  <c r="F20" i="11"/>
  <c r="I21" i="11"/>
  <c r="F21" i="11"/>
  <c r="L12" i="14"/>
  <c r="F55" i="14"/>
  <c r="F69" i="14"/>
  <c r="F55" i="12"/>
  <c r="H55" i="12" s="1"/>
  <c r="F69" i="12"/>
  <c r="H69" i="12" s="1"/>
  <c r="H74" i="15"/>
  <c r="I14" i="11"/>
  <c r="F14" i="11"/>
  <c r="I23" i="11"/>
  <c r="F23" i="11"/>
  <c r="E66" i="12"/>
  <c r="E65" i="12" s="1"/>
  <c r="C65" i="12"/>
  <c r="F71" i="14"/>
  <c r="F57" i="14"/>
  <c r="F74" i="12"/>
  <c r="H74" i="12" s="1"/>
  <c r="F60" i="12"/>
  <c r="H60" i="12" s="1"/>
  <c r="I8" i="11"/>
  <c r="F8" i="11"/>
  <c r="I17" i="11"/>
  <c r="F17" i="11"/>
  <c r="I4" i="11"/>
  <c r="I40" i="11" s="1"/>
  <c r="F4" i="11"/>
  <c r="F40" i="11" s="1"/>
  <c r="H40" i="11" s="1"/>
  <c r="H66" i="15"/>
  <c r="F65" i="15"/>
  <c r="H48" i="12"/>
  <c r="H47" i="12" s="1"/>
  <c r="F47" i="12"/>
  <c r="H72" i="12"/>
  <c r="F78" i="14"/>
  <c r="F64" i="14"/>
  <c r="G58" i="14"/>
  <c r="H58" i="14" s="1"/>
  <c r="G72" i="14"/>
  <c r="H48" i="14"/>
  <c r="H47" i="14" s="1"/>
  <c r="G47" i="14"/>
  <c r="G60" i="14"/>
  <c r="G74" i="14"/>
  <c r="D50" i="14"/>
  <c r="J50" i="14" s="1"/>
  <c r="E54" i="14"/>
  <c r="G73" i="14"/>
  <c r="G59" i="14"/>
  <c r="H59" i="14" s="1"/>
  <c r="H34" i="14"/>
  <c r="G33" i="14"/>
  <c r="G70" i="14"/>
  <c r="G56" i="14"/>
  <c r="G57" i="14"/>
  <c r="G71" i="14"/>
  <c r="E48" i="14"/>
  <c r="E47" i="14" s="1"/>
  <c r="D47" i="14"/>
  <c r="G47" i="11"/>
  <c r="D33" i="14"/>
  <c r="E34" i="14"/>
  <c r="G75" i="14"/>
  <c r="H75" i="14" s="1"/>
  <c r="G61" i="14"/>
  <c r="H61" i="14" s="1"/>
  <c r="G77" i="14"/>
  <c r="G63" i="14"/>
  <c r="G78" i="14"/>
  <c r="G64" i="14"/>
  <c r="L14" i="14"/>
  <c r="G62" i="14"/>
  <c r="G76" i="14"/>
  <c r="H76" i="14" s="1"/>
  <c r="G53" i="14"/>
  <c r="H53" i="14" s="1"/>
  <c r="G67" i="14"/>
  <c r="G66" i="14"/>
  <c r="H66" i="14" s="1"/>
  <c r="G52" i="14"/>
  <c r="G55" i="14"/>
  <c r="H55" i="14" s="1"/>
  <c r="G69" i="14"/>
  <c r="D65" i="14"/>
  <c r="J65" i="14" s="1"/>
  <c r="E66" i="14"/>
  <c r="G68" i="14"/>
  <c r="H68" i="14" s="1"/>
  <c r="G54" i="14"/>
  <c r="H54" i="14" s="1"/>
  <c r="D33" i="11"/>
  <c r="L29" i="14"/>
  <c r="K29" i="14"/>
  <c r="K50" i="15"/>
  <c r="K60" i="12"/>
  <c r="K69" i="12"/>
  <c r="K71" i="15"/>
  <c r="K57" i="15"/>
  <c r="H27" i="14"/>
  <c r="H14" i="14"/>
  <c r="H25" i="14"/>
  <c r="H31" i="14"/>
  <c r="H12" i="14"/>
  <c r="K48" i="14"/>
  <c r="H28" i="14"/>
  <c r="K71" i="14"/>
  <c r="H20" i="14"/>
  <c r="H32" i="14"/>
  <c r="H17" i="14"/>
  <c r="K44" i="14"/>
  <c r="H21" i="14"/>
  <c r="K78" i="14"/>
  <c r="K64" i="14"/>
  <c r="H29" i="14"/>
  <c r="H24" i="14"/>
  <c r="H22" i="14"/>
  <c r="H6" i="14"/>
  <c r="H30" i="14"/>
  <c r="H26" i="14"/>
  <c r="H19" i="14"/>
  <c r="H9" i="14"/>
  <c r="H18" i="14"/>
  <c r="H4" i="11"/>
  <c r="H9" i="11"/>
  <c r="H14" i="11"/>
  <c r="H7" i="11"/>
  <c r="H22" i="11"/>
  <c r="H10" i="11"/>
  <c r="H16" i="11"/>
  <c r="K36" i="11"/>
  <c r="H30" i="11"/>
  <c r="H27" i="11"/>
  <c r="H26" i="11"/>
  <c r="H12" i="11"/>
  <c r="H13" i="11"/>
  <c r="H11" i="11"/>
  <c r="H29" i="11"/>
  <c r="H25" i="11"/>
  <c r="H19" i="11"/>
  <c r="H18" i="11"/>
  <c r="H6" i="11"/>
  <c r="H5" i="11"/>
  <c r="K34" i="11"/>
  <c r="H23" i="11"/>
  <c r="H24" i="11"/>
  <c r="H17" i="11"/>
  <c r="H31" i="11"/>
  <c r="H15" i="11"/>
  <c r="H8" i="11"/>
  <c r="K45" i="12"/>
  <c r="H30" i="12"/>
  <c r="K48" i="12"/>
  <c r="H12" i="12"/>
  <c r="K49" i="12"/>
  <c r="H8" i="12"/>
  <c r="K53" i="12"/>
  <c r="H23" i="12"/>
  <c r="K39" i="12"/>
  <c r="H24" i="12"/>
  <c r="K34" i="12"/>
  <c r="H5" i="12"/>
  <c r="J47" i="14"/>
  <c r="L22" i="11"/>
  <c r="L26" i="11"/>
  <c r="L29" i="11"/>
  <c r="L11" i="11"/>
  <c r="L31" i="11"/>
  <c r="L7" i="11"/>
  <c r="L17" i="11"/>
  <c r="L5" i="11"/>
  <c r="L4" i="11"/>
  <c r="L8" i="11"/>
  <c r="L27" i="11"/>
  <c r="L10" i="11"/>
  <c r="L15" i="11"/>
  <c r="L25" i="11"/>
  <c r="L13" i="11"/>
  <c r="L19" i="11"/>
  <c r="C34" i="11"/>
  <c r="I66" i="12"/>
  <c r="I52" i="12"/>
  <c r="D47" i="11"/>
  <c r="J47" i="11" s="1"/>
  <c r="I61" i="12"/>
  <c r="I75" i="12"/>
  <c r="L24" i="11"/>
  <c r="E32" i="11"/>
  <c r="K32" i="11" s="1"/>
  <c r="C37" i="11"/>
  <c r="E37" i="11" s="1"/>
  <c r="L37" i="11" s="1"/>
  <c r="E20" i="11"/>
  <c r="K20" i="11" s="1"/>
  <c r="C76" i="11"/>
  <c r="E76" i="11" s="1"/>
  <c r="L76" i="11" s="1"/>
  <c r="C62" i="11"/>
  <c r="E62" i="11" s="1"/>
  <c r="L62" i="11" s="1"/>
  <c r="E21" i="11"/>
  <c r="K21" i="11" s="1"/>
  <c r="C44" i="11"/>
  <c r="E44" i="11" s="1"/>
  <c r="L44" i="11" s="1"/>
  <c r="I71" i="12"/>
  <c r="I57" i="12"/>
  <c r="I50" i="12"/>
  <c r="C63" i="11"/>
  <c r="E63" i="11" s="1"/>
  <c r="L63" i="11" s="1"/>
  <c r="C77" i="11"/>
  <c r="E77" i="11" s="1"/>
  <c r="L77" i="11" s="1"/>
  <c r="C53" i="11"/>
  <c r="E53" i="11" s="1"/>
  <c r="L53" i="11" s="1"/>
  <c r="C67" i="11"/>
  <c r="E67" i="11" s="1"/>
  <c r="L67" i="11" s="1"/>
  <c r="C49" i="11"/>
  <c r="E49" i="11" s="1"/>
  <c r="L49" i="11" s="1"/>
  <c r="C46" i="11"/>
  <c r="E46" i="11" s="1"/>
  <c r="L46" i="11" s="1"/>
  <c r="C40" i="11"/>
  <c r="E40" i="11" s="1"/>
  <c r="L40" i="11" s="1"/>
  <c r="J74" i="14"/>
  <c r="J60" i="14"/>
  <c r="I70" i="12"/>
  <c r="I56" i="12"/>
  <c r="I68" i="12"/>
  <c r="I54" i="12"/>
  <c r="L9" i="11"/>
  <c r="L14" i="11"/>
  <c r="L30" i="11"/>
  <c r="C48" i="11"/>
  <c r="C38" i="11"/>
  <c r="E38" i="11" s="1"/>
  <c r="L38" i="11" s="1"/>
  <c r="I65" i="12"/>
  <c r="K65" i="12"/>
  <c r="J63" i="14"/>
  <c r="J77" i="14"/>
  <c r="K33" i="12"/>
  <c r="I33" i="12"/>
  <c r="L16" i="11"/>
  <c r="L23" i="11"/>
  <c r="L6" i="11"/>
  <c r="C66" i="11"/>
  <c r="C52" i="11"/>
  <c r="E52" i="11" s="1"/>
  <c r="L52" i="11" s="1"/>
  <c r="C36" i="11"/>
  <c r="E36" i="11" s="1"/>
  <c r="L36" i="11" s="1"/>
  <c r="C70" i="11"/>
  <c r="C56" i="11"/>
  <c r="E56" i="11" s="1"/>
  <c r="L56" i="11" s="1"/>
  <c r="C43" i="11"/>
  <c r="E43" i="11" s="1"/>
  <c r="L43" i="11" s="1"/>
  <c r="J64" i="14"/>
  <c r="J78" i="14"/>
  <c r="J59" i="14"/>
  <c r="J73" i="14"/>
  <c r="I60" i="12"/>
  <c r="I74" i="12"/>
  <c r="L18" i="11"/>
  <c r="I55" i="12"/>
  <c r="I69" i="12"/>
  <c r="D50" i="11"/>
  <c r="J50" i="11" s="1"/>
  <c r="J75" i="14"/>
  <c r="J61" i="14"/>
  <c r="J53" i="14"/>
  <c r="J67" i="14"/>
  <c r="C41" i="11"/>
  <c r="E41" i="11" s="1"/>
  <c r="L41" i="11" s="1"/>
  <c r="C35" i="11"/>
  <c r="E35" i="11" s="1"/>
  <c r="L35" i="11" s="1"/>
  <c r="J33" i="11"/>
  <c r="J56" i="14"/>
  <c r="J70" i="14"/>
  <c r="L12" i="11"/>
  <c r="C58" i="11"/>
  <c r="E58" i="11" s="1"/>
  <c r="L58" i="11" s="1"/>
  <c r="C72" i="11"/>
  <c r="E72" i="11" s="1"/>
  <c r="L72" i="11" s="1"/>
  <c r="C64" i="11"/>
  <c r="E64" i="11" s="1"/>
  <c r="L64" i="11" s="1"/>
  <c r="C78" i="11"/>
  <c r="E78" i="11" s="1"/>
  <c r="L78" i="11" s="1"/>
  <c r="I63" i="12"/>
  <c r="I77" i="12"/>
  <c r="C57" i="11"/>
  <c r="E57" i="11" s="1"/>
  <c r="L57" i="11" s="1"/>
  <c r="C71" i="11"/>
  <c r="E71" i="11" s="1"/>
  <c r="L71" i="11" s="1"/>
  <c r="C59" i="11"/>
  <c r="E59" i="11" s="1"/>
  <c r="L59" i="11" s="1"/>
  <c r="C73" i="11"/>
  <c r="E73" i="11" s="1"/>
  <c r="L73" i="11" s="1"/>
  <c r="C39" i="11"/>
  <c r="E39" i="11" s="1"/>
  <c r="L39" i="11" s="1"/>
  <c r="I73" i="12"/>
  <c r="I59" i="12"/>
  <c r="I76" i="12"/>
  <c r="I62" i="12"/>
  <c r="J69" i="14"/>
  <c r="J55" i="14"/>
  <c r="J71" i="14"/>
  <c r="J57" i="14"/>
  <c r="C61" i="11"/>
  <c r="E61" i="11" s="1"/>
  <c r="L61" i="11" s="1"/>
  <c r="C75" i="11"/>
  <c r="E75" i="11" s="1"/>
  <c r="L75" i="11" s="1"/>
  <c r="C51" i="11"/>
  <c r="C55" i="11"/>
  <c r="E55" i="11" s="1"/>
  <c r="L55" i="11" s="1"/>
  <c r="C69" i="11"/>
  <c r="E69" i="11" s="1"/>
  <c r="L69" i="11" s="1"/>
  <c r="J33" i="14"/>
  <c r="K47" i="12"/>
  <c r="I47" i="12"/>
  <c r="J68" i="14"/>
  <c r="J54" i="14"/>
  <c r="J76" i="14"/>
  <c r="J62" i="14"/>
  <c r="C74" i="11"/>
  <c r="E74" i="11" s="1"/>
  <c r="L74" i="11" s="1"/>
  <c r="C60" i="11"/>
  <c r="E60" i="11" s="1"/>
  <c r="L60" i="11" s="1"/>
  <c r="C45" i="11"/>
  <c r="E45" i="11" s="1"/>
  <c r="L45" i="11" s="1"/>
  <c r="C68" i="11"/>
  <c r="E68" i="11" s="1"/>
  <c r="L68" i="11" s="1"/>
  <c r="C54" i="11"/>
  <c r="E54" i="11" s="1"/>
  <c r="L54" i="11" s="1"/>
  <c r="C42" i="11"/>
  <c r="E42" i="11" s="1"/>
  <c r="L42" i="11" s="1"/>
  <c r="I53" i="12"/>
  <c r="I67" i="12"/>
  <c r="L65" i="13"/>
  <c r="J66" i="14"/>
  <c r="J52" i="14"/>
  <c r="D65" i="11"/>
  <c r="J65" i="11" s="1"/>
  <c r="J58" i="14"/>
  <c r="J72" i="14"/>
  <c r="L50" i="13"/>
  <c r="I68" i="14"/>
  <c r="I54" i="14"/>
  <c r="I56" i="14"/>
  <c r="I70" i="14"/>
  <c r="I63" i="14"/>
  <c r="I77" i="14"/>
  <c r="I47" i="14"/>
  <c r="I75" i="14"/>
  <c r="I61" i="14"/>
  <c r="I66" i="14"/>
  <c r="I52" i="14"/>
  <c r="I59" i="14"/>
  <c r="I73" i="14"/>
  <c r="I33" i="14"/>
  <c r="I58" i="14"/>
  <c r="I72" i="14"/>
  <c r="I67" i="14"/>
  <c r="I53" i="14"/>
  <c r="I62" i="14"/>
  <c r="I76" i="14"/>
  <c r="I71" i="14"/>
  <c r="I57" i="14"/>
  <c r="I78" i="14"/>
  <c r="I64" i="14"/>
  <c r="I74" i="14"/>
  <c r="I60" i="14"/>
  <c r="I55" i="14"/>
  <c r="I69" i="14"/>
  <c r="K58" i="15"/>
  <c r="K72" i="15"/>
  <c r="G74" i="11"/>
  <c r="G60" i="11"/>
  <c r="J78" i="11"/>
  <c r="J64" i="11"/>
  <c r="G68" i="11"/>
  <c r="G54" i="11"/>
  <c r="J74" i="11"/>
  <c r="J60" i="11"/>
  <c r="G71" i="11"/>
  <c r="G57" i="11"/>
  <c r="J57" i="11"/>
  <c r="J71" i="11"/>
  <c r="J76" i="11"/>
  <c r="J62" i="11"/>
  <c r="G59" i="11"/>
  <c r="G73" i="11"/>
  <c r="J73" i="11"/>
  <c r="J59" i="11"/>
  <c r="J75" i="11"/>
  <c r="J61" i="11"/>
  <c r="G72" i="11"/>
  <c r="G58" i="11"/>
  <c r="G61" i="11"/>
  <c r="G75" i="11"/>
  <c r="G67" i="11"/>
  <c r="G53" i="11"/>
  <c r="J69" i="11"/>
  <c r="J55" i="11"/>
  <c r="G78" i="11"/>
  <c r="G64" i="11"/>
  <c r="J72" i="11"/>
  <c r="J58" i="11"/>
  <c r="G77" i="11"/>
  <c r="G63" i="11"/>
  <c r="G33" i="11"/>
  <c r="J67" i="11"/>
  <c r="J53" i="11"/>
  <c r="G69" i="11"/>
  <c r="G55" i="11"/>
  <c r="J77" i="11"/>
  <c r="J63" i="11"/>
  <c r="J66" i="11"/>
  <c r="J52" i="11"/>
  <c r="J70" i="11"/>
  <c r="J56" i="11"/>
  <c r="J54" i="11"/>
  <c r="J68" i="11"/>
  <c r="G76" i="11"/>
  <c r="G62" i="11"/>
  <c r="G66" i="11"/>
  <c r="G52" i="11"/>
  <c r="G70" i="11"/>
  <c r="G56" i="11"/>
  <c r="K38" i="14"/>
  <c r="K46" i="14"/>
  <c r="K39" i="14"/>
  <c r="K51" i="14"/>
  <c r="K42" i="14"/>
  <c r="K45" i="14"/>
  <c r="K37" i="14"/>
  <c r="K70" i="14"/>
  <c r="K56" i="14"/>
  <c r="K73" i="14"/>
  <c r="K59" i="14"/>
  <c r="K52" i="14"/>
  <c r="K66" i="14"/>
  <c r="K69" i="14"/>
  <c r="K55" i="14"/>
  <c r="K63" i="14"/>
  <c r="K77" i="14"/>
  <c r="K68" i="14"/>
  <c r="K54" i="14"/>
  <c r="K72" i="14"/>
  <c r="K58" i="14"/>
  <c r="K61" i="14"/>
  <c r="K75" i="14"/>
  <c r="K74" i="14"/>
  <c r="K60" i="14"/>
  <c r="K76" i="14"/>
  <c r="K62" i="14"/>
  <c r="I48" i="11"/>
  <c r="F48" i="11"/>
  <c r="F38" i="11"/>
  <c r="H38" i="11" s="1"/>
  <c r="I38" i="11"/>
  <c r="I36" i="11"/>
  <c r="F36" i="11"/>
  <c r="H36" i="11" s="1"/>
  <c r="I43" i="11"/>
  <c r="F43" i="11"/>
  <c r="H43" i="11" s="1"/>
  <c r="F41" i="11"/>
  <c r="H41" i="11" s="1"/>
  <c r="I41" i="11"/>
  <c r="I35" i="11"/>
  <c r="F35" i="11"/>
  <c r="H35" i="11" s="1"/>
  <c r="I39" i="11"/>
  <c r="F39" i="11"/>
  <c r="H39" i="11" s="1"/>
  <c r="F51" i="11"/>
  <c r="I51" i="11"/>
  <c r="F45" i="11"/>
  <c r="H45" i="11" s="1"/>
  <c r="I45" i="11"/>
  <c r="I42" i="11"/>
  <c r="F42" i="11"/>
  <c r="H42" i="11" s="1"/>
  <c r="F34" i="11"/>
  <c r="I34" i="11"/>
  <c r="F37" i="11"/>
  <c r="H37" i="11" s="1"/>
  <c r="I44" i="11"/>
  <c r="F44" i="11"/>
  <c r="H44" i="11" s="1"/>
  <c r="I49" i="11"/>
  <c r="F49" i="11"/>
  <c r="H49" i="11" s="1"/>
  <c r="I46" i="11"/>
  <c r="F46" i="11"/>
  <c r="H46" i="11" s="1"/>
  <c r="L17" i="14"/>
  <c r="L18" i="14"/>
  <c r="L22" i="14"/>
  <c r="L32" i="14"/>
  <c r="L6" i="14"/>
  <c r="L21" i="14"/>
  <c r="L27" i="14"/>
  <c r="L25" i="14"/>
  <c r="L28" i="14"/>
  <c r="L30" i="14"/>
  <c r="L31" i="14"/>
  <c r="L19" i="14"/>
  <c r="L9" i="14"/>
  <c r="L24" i="14"/>
  <c r="L20" i="14"/>
  <c r="L26" i="14"/>
  <c r="K35" i="11"/>
  <c r="K40" i="11"/>
  <c r="K49" i="11"/>
  <c r="K39" i="11"/>
  <c r="K42" i="11"/>
  <c r="K51" i="11"/>
  <c r="K43" i="11"/>
  <c r="K48" i="11"/>
  <c r="K46" i="11"/>
  <c r="K45" i="11"/>
  <c r="K41" i="11"/>
  <c r="E65" i="14" l="1"/>
  <c r="H56" i="14"/>
  <c r="H77" i="14"/>
  <c r="E50" i="14"/>
  <c r="H74" i="14"/>
  <c r="E33" i="14"/>
  <c r="H57" i="14"/>
  <c r="H72" i="14"/>
  <c r="H50" i="15"/>
  <c r="F50" i="14"/>
  <c r="H33" i="14"/>
  <c r="H73" i="14"/>
  <c r="F65" i="14"/>
  <c r="H28" i="11"/>
  <c r="H65" i="15"/>
  <c r="H66" i="12"/>
  <c r="H65" i="12" s="1"/>
  <c r="F65" i="12"/>
  <c r="L28" i="11"/>
  <c r="H62" i="14"/>
  <c r="H60" i="14"/>
  <c r="H71" i="14"/>
  <c r="H64" i="14"/>
  <c r="H78" i="14"/>
  <c r="F50" i="12"/>
  <c r="H63" i="14"/>
  <c r="H70" i="14"/>
  <c r="H50" i="12"/>
  <c r="H69" i="14"/>
  <c r="G50" i="14"/>
  <c r="H52" i="14"/>
  <c r="G65" i="14"/>
  <c r="H67" i="14"/>
  <c r="G50" i="11"/>
  <c r="E66" i="11"/>
  <c r="L66" i="11" s="1"/>
  <c r="C65" i="11"/>
  <c r="C50" i="11"/>
  <c r="F47" i="11"/>
  <c r="G65" i="11"/>
  <c r="C47" i="11"/>
  <c r="I47" i="11" s="1"/>
  <c r="C33" i="11"/>
  <c r="F33" i="11"/>
  <c r="K67" i="12"/>
  <c r="H20" i="11"/>
  <c r="H21" i="11"/>
  <c r="K44" i="11"/>
  <c r="H32" i="11"/>
  <c r="L21" i="11"/>
  <c r="E51" i="11"/>
  <c r="E50" i="11" s="1"/>
  <c r="I50" i="11"/>
  <c r="I33" i="11"/>
  <c r="E34" i="11"/>
  <c r="E33" i="11" s="1"/>
  <c r="I65" i="11"/>
  <c r="E70" i="11"/>
  <c r="L70" i="11" s="1"/>
  <c r="E48" i="11"/>
  <c r="L32" i="11"/>
  <c r="K37" i="11"/>
  <c r="L20" i="11"/>
  <c r="L46" i="14"/>
  <c r="L53" i="14"/>
  <c r="L57" i="14"/>
  <c r="L38" i="14"/>
  <c r="L54" i="14"/>
  <c r="L56" i="14"/>
  <c r="L35" i="14"/>
  <c r="L34" i="14"/>
  <c r="K33" i="14"/>
  <c r="L73" i="14"/>
  <c r="L45" i="14"/>
  <c r="L64" i="14"/>
  <c r="L77" i="14"/>
  <c r="L76" i="14"/>
  <c r="L59" i="14"/>
  <c r="L52" i="14"/>
  <c r="L70" i="14"/>
  <c r="L55" i="14"/>
  <c r="L67" i="14"/>
  <c r="L63" i="14"/>
  <c r="L71" i="14"/>
  <c r="L58" i="14"/>
  <c r="L42" i="14"/>
  <c r="L60" i="14"/>
  <c r="L36" i="14"/>
  <c r="L72" i="14"/>
  <c r="L48" i="14"/>
  <c r="K47" i="14"/>
  <c r="L44" i="14"/>
  <c r="L39" i="14"/>
  <c r="L66" i="14"/>
  <c r="K65" i="14"/>
  <c r="L69" i="14"/>
  <c r="L62" i="14"/>
  <c r="L68" i="14"/>
  <c r="L43" i="14"/>
  <c r="L78" i="14"/>
  <c r="L75" i="14"/>
  <c r="L51" i="14"/>
  <c r="K50" i="14"/>
  <c r="L41" i="14"/>
  <c r="L49" i="14"/>
  <c r="L40" i="14"/>
  <c r="L37" i="14"/>
  <c r="L61" i="14"/>
  <c r="L74" i="14"/>
  <c r="K68" i="11"/>
  <c r="K54" i="11"/>
  <c r="K78" i="11"/>
  <c r="K64" i="11"/>
  <c r="H34" i="11"/>
  <c r="H33" i="11" s="1"/>
  <c r="F58" i="11"/>
  <c r="H58" i="11" s="1"/>
  <c r="F72" i="11"/>
  <c r="H72" i="11" s="1"/>
  <c r="F67" i="11"/>
  <c r="H67" i="11" s="1"/>
  <c r="F53" i="11"/>
  <c r="H53" i="11" s="1"/>
  <c r="I54" i="11"/>
  <c r="I68" i="11"/>
  <c r="K73" i="11"/>
  <c r="K59" i="11"/>
  <c r="I67" i="11"/>
  <c r="I53" i="11"/>
  <c r="F68" i="11"/>
  <c r="H68" i="11" s="1"/>
  <c r="F54" i="11"/>
  <c r="H54" i="11" s="1"/>
  <c r="F56" i="11"/>
  <c r="H56" i="11" s="1"/>
  <c r="F70" i="11"/>
  <c r="I72" i="11"/>
  <c r="I58" i="11"/>
  <c r="F74" i="11"/>
  <c r="H74" i="11" s="1"/>
  <c r="F60" i="11"/>
  <c r="H60" i="11" s="1"/>
  <c r="F73" i="11"/>
  <c r="H73" i="11" s="1"/>
  <c r="F59" i="11"/>
  <c r="H59" i="11" s="1"/>
  <c r="I56" i="11"/>
  <c r="I70" i="11"/>
  <c r="H48" i="11"/>
  <c r="H47" i="11" s="1"/>
  <c r="K76" i="11"/>
  <c r="K62" i="11"/>
  <c r="K66" i="11"/>
  <c r="K52" i="11"/>
  <c r="K70" i="11"/>
  <c r="K56" i="11"/>
  <c r="I76" i="11"/>
  <c r="I62" i="11"/>
  <c r="I74" i="11"/>
  <c r="I60" i="11"/>
  <c r="I73" i="11"/>
  <c r="I59" i="11"/>
  <c r="I66" i="11"/>
  <c r="I52" i="11"/>
  <c r="K57" i="11"/>
  <c r="K71" i="11"/>
  <c r="K67" i="11"/>
  <c r="K53" i="11"/>
  <c r="K60" i="11"/>
  <c r="K74" i="11"/>
  <c r="K72" i="11"/>
  <c r="K58" i="11"/>
  <c r="F76" i="11"/>
  <c r="H76" i="11" s="1"/>
  <c r="F62" i="11"/>
  <c r="H62" i="11" s="1"/>
  <c r="F69" i="11"/>
  <c r="H69" i="11" s="1"/>
  <c r="F55" i="11"/>
  <c r="H55" i="11" s="1"/>
  <c r="F78" i="11"/>
  <c r="H78" i="11" s="1"/>
  <c r="F64" i="11"/>
  <c r="H64" i="11" s="1"/>
  <c r="F66" i="11"/>
  <c r="F52" i="11"/>
  <c r="H52" i="11" s="1"/>
  <c r="K69" i="11"/>
  <c r="K55" i="11"/>
  <c r="I69" i="11"/>
  <c r="I55" i="11"/>
  <c r="H51" i="11"/>
  <c r="I64" i="11"/>
  <c r="I78" i="11"/>
  <c r="K75" i="11"/>
  <c r="K61" i="11"/>
  <c r="F77" i="11"/>
  <c r="H77" i="11" s="1"/>
  <c r="F63" i="11"/>
  <c r="H63" i="11" s="1"/>
  <c r="F61" i="11"/>
  <c r="H61" i="11" s="1"/>
  <c r="F75" i="11"/>
  <c r="H75" i="11" s="1"/>
  <c r="I71" i="11"/>
  <c r="I57" i="11"/>
  <c r="K77" i="11"/>
  <c r="K63" i="11"/>
  <c r="I77" i="11"/>
  <c r="I63" i="11"/>
  <c r="I75" i="11"/>
  <c r="I61" i="11"/>
  <c r="F71" i="11"/>
  <c r="H71" i="11" s="1"/>
  <c r="F57" i="11"/>
  <c r="H57" i="11" s="1"/>
  <c r="H65" i="14" l="1"/>
  <c r="H50" i="14"/>
  <c r="H66" i="11"/>
  <c r="F65" i="11"/>
  <c r="F50" i="11"/>
  <c r="H50" i="11"/>
  <c r="E65" i="11"/>
  <c r="K65" i="11" s="1"/>
  <c r="L34" i="11"/>
  <c r="K33" i="11"/>
  <c r="L48" i="11"/>
  <c r="E47" i="11"/>
  <c r="K47" i="11" s="1"/>
  <c r="L51" i="11"/>
  <c r="K50" i="11"/>
  <c r="L50" i="14"/>
  <c r="L47" i="14"/>
  <c r="L33" i="14"/>
  <c r="L65" i="14"/>
  <c r="H70" i="11"/>
  <c r="H65" i="11" l="1"/>
  <c r="L65" i="11"/>
  <c r="L50" i="11"/>
  <c r="L47" i="11"/>
  <c r="L33"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<sst xmlns="http://schemas.openxmlformats.org/spreadsheetml/2006/main" count="1914" uniqueCount="228">
  <si>
    <t>ANALYSIS</t>
  </si>
  <si>
    <t>DCFO107_AD</t>
  </si>
  <si>
    <t>DCFO107_PC</t>
  </si>
  <si>
    <t>DCFO107</t>
  </si>
  <si>
    <t>DCFI107_AD</t>
  </si>
  <si>
    <t>DCFI107_PC</t>
  </si>
  <si>
    <t>DCFI107</t>
  </si>
  <si>
    <t>DCFX107</t>
  </si>
  <si>
    <t>DCFXSUB107</t>
  </si>
  <si>
    <t>DCFXIMM107</t>
  </si>
  <si>
    <t>DCFXGP107</t>
  </si>
  <si>
    <t>DCFXSV1107</t>
  </si>
  <si>
    <t>DCFXSV5107</t>
  </si>
  <si>
    <t>DCFXSV15107</t>
  </si>
  <si>
    <t>Am-241</t>
  </si>
  <si>
    <t>At-217</t>
  </si>
  <si>
    <t>At-218</t>
  </si>
  <si>
    <t>Cs-137</t>
  </si>
  <si>
    <t>Ba-137m</t>
  </si>
  <si>
    <t>Bi-210</t>
  </si>
  <si>
    <t>Bi-213</t>
  </si>
  <si>
    <t>Bi-214</t>
  </si>
  <si>
    <t>Hg-206</t>
  </si>
  <si>
    <t>Ac-225</t>
  </si>
  <si>
    <t>Fr-221</t>
  </si>
  <si>
    <t>U-233</t>
  </si>
  <si>
    <t>Ra-225</t>
  </si>
  <si>
    <t>Ra-226</t>
  </si>
  <si>
    <t>Np-237</t>
  </si>
  <si>
    <t>Pa-233</t>
  </si>
  <si>
    <t>Rn-218</t>
  </si>
  <si>
    <t>Rn-222</t>
  </si>
  <si>
    <t>Pb-209</t>
  </si>
  <si>
    <t>Pb-210</t>
  </si>
  <si>
    <t>Pb-214</t>
  </si>
  <si>
    <t>Th-229</t>
  </si>
  <si>
    <t>Po-210</t>
  </si>
  <si>
    <t>Po-213</t>
  </si>
  <si>
    <t>Po-214</t>
  </si>
  <si>
    <t>Po-218</t>
  </si>
  <si>
    <t>Tl-206</t>
  </si>
  <si>
    <t>Tl-209</t>
  </si>
  <si>
    <t>Tl-210</t>
  </si>
  <si>
    <t>TEST</t>
  </si>
  <si>
    <t>Y</t>
  </si>
  <si>
    <t>General</t>
  </si>
  <si>
    <t>Resident</t>
  </si>
  <si>
    <t>Indoor Worker</t>
  </si>
  <si>
    <t>mrem/year</t>
  </si>
  <si>
    <t>year</t>
  </si>
  <si>
    <t>SE</t>
  </si>
  <si>
    <t>pCi</t>
  </si>
  <si>
    <t>days/year</t>
  </si>
  <si>
    <t>hours/day</t>
  </si>
  <si>
    <t>event/hour</t>
  </si>
  <si>
    <t>YHALFLIFE</t>
  </si>
  <si>
    <t>LAMBDA</t>
  </si>
  <si>
    <t>MASS</t>
  </si>
  <si>
    <t>s_DL</t>
  </si>
  <si>
    <t>s_k</t>
  </si>
  <si>
    <t>s_Fin</t>
  </si>
  <si>
    <t>s_Fam</t>
  </si>
  <si>
    <t>s_Foff</t>
  </si>
  <si>
    <t>s_SE</t>
  </si>
  <si>
    <t>s_1 bq =</t>
  </si>
  <si>
    <t>s_tres</t>
  </si>
  <si>
    <t>s_AAFc</t>
  </si>
  <si>
    <t>s_AAFa</t>
  </si>
  <si>
    <t>s_EFres-c</t>
  </si>
  <si>
    <t>s_EFres-a</t>
  </si>
  <si>
    <t>s_EFres</t>
  </si>
  <si>
    <t>s_ETres</t>
  </si>
  <si>
    <t>s_ETres-c</t>
  </si>
  <si>
    <t>s_ETres-a</t>
  </si>
  <si>
    <t>s_ETres-a,h</t>
  </si>
  <si>
    <t>s_ETres-c,h</t>
  </si>
  <si>
    <t>s_ETres-a,s</t>
  </si>
  <si>
    <t>s_ETres-c,s</t>
  </si>
  <si>
    <t>s_SAres-c</t>
  </si>
  <si>
    <t>s_SAres-a</t>
  </si>
  <si>
    <t>s_FQres-c</t>
  </si>
  <si>
    <t>s_FQres-a</t>
  </si>
  <si>
    <t>s_GSFa</t>
  </si>
  <si>
    <t>s_GSFb</t>
  </si>
  <si>
    <t>s_tiw</t>
  </si>
  <si>
    <t>s_EFiw</t>
  </si>
  <si>
    <t>s_ETiw</t>
  </si>
  <si>
    <t>s_ETiw,h</t>
  </si>
  <si>
    <t>s_ETiw,s</t>
  </si>
  <si>
    <t>s_SAiw</t>
  </si>
  <si>
    <t>s_FQiw</t>
  </si>
  <si>
    <t>s_IRAiw</t>
  </si>
  <si>
    <t>D_FSURFGP</t>
  </si>
  <si>
    <t>D_FSURFSV</t>
  </si>
  <si>
    <t>D_FSURFSV1</t>
  </si>
  <si>
    <t>D_FSURFSV5</t>
  </si>
  <si>
    <t>D_FSURFSV15</t>
  </si>
  <si>
    <t>res_dust_ing</t>
  </si>
  <si>
    <t>res_dust_ext</t>
  </si>
  <si>
    <t>res_dust_tot</t>
  </si>
  <si>
    <t>Bq</t>
  </si>
  <si>
    <t>Mass</t>
  </si>
  <si>
    <t>(pCi/cm²)</t>
  </si>
  <si>
    <t>(bq/cm²)</t>
  </si>
  <si>
    <t>(mg/cm²)</t>
  </si>
  <si>
    <t>(pCi/m³)</t>
  </si>
  <si>
    <t>(bq/m³)</t>
  </si>
  <si>
    <t>(mg/m³)</t>
  </si>
  <si>
    <t>res_3D_ext_sv</t>
  </si>
  <si>
    <t>res_3D_ext_gp</t>
  </si>
  <si>
    <t>res_3D_ext_sv1</t>
  </si>
  <si>
    <t>res_3D_ext_sv5</t>
  </si>
  <si>
    <t>res_3D_ext_sv15</t>
  </si>
  <si>
    <t>(pCi/g)</t>
  </si>
  <si>
    <t>(Bq/g)</t>
  </si>
  <si>
    <t>(Bq/cm²)</t>
  </si>
  <si>
    <t>ind_3D_ext_sv</t>
  </si>
  <si>
    <t>ind_3D_ext_gp</t>
  </si>
  <si>
    <t>ind_3D_ext_sv1</t>
  </si>
  <si>
    <t>ind_3D_ext_sv5</t>
  </si>
  <si>
    <t>ind_3D_ext_sv15</t>
  </si>
  <si>
    <t>ind_dust_ing</t>
  </si>
  <si>
    <t>ind_dust_ext</t>
  </si>
  <si>
    <t>ind_dust_tot</t>
  </si>
  <si>
    <t>s_Fi</t>
  </si>
  <si>
    <t>s_IRAres-c</t>
  </si>
  <si>
    <t>s_IRAres-a</t>
  </si>
  <si>
    <t>s_IFDres-adj</t>
  </si>
  <si>
    <t>s_IFAres-adj</t>
  </si>
  <si>
    <t>S_FSURFGP</t>
  </si>
  <si>
    <t>S_FSURFSV</t>
  </si>
  <si>
    <t>S_FSURFSV1</t>
  </si>
  <si>
    <t>S_FSURFSV5</t>
  </si>
  <si>
    <t>S_FSURFSV15</t>
  </si>
  <si>
    <t>k_decay</t>
  </si>
  <si>
    <t>k_decay_iw</t>
  </si>
  <si>
    <t>s_C</t>
  </si>
  <si>
    <t>~Am-241</t>
  </si>
  <si>
    <t>~Np-237</t>
  </si>
  <si>
    <t>~Pa-233</t>
  </si>
  <si>
    <t>~U-233</t>
  </si>
  <si>
    <t>~Th-229</t>
  </si>
  <si>
    <t>~Ra-225</t>
  </si>
  <si>
    <t>~Ac-225</t>
  </si>
  <si>
    <t>~Fr-221</t>
  </si>
  <si>
    <t>~At-217</t>
  </si>
  <si>
    <t>~Bi-213</t>
  </si>
  <si>
    <t>~Po-213</t>
  </si>
  <si>
    <t>~Tl-209</t>
  </si>
  <si>
    <t>~Pb-209</t>
  </si>
  <si>
    <t>~Cs-137</t>
  </si>
  <si>
    <t>~Ba-137m</t>
  </si>
  <si>
    <t>~Ra-226</t>
  </si>
  <si>
    <t>~Rn-222</t>
  </si>
  <si>
    <t>~Po-218</t>
  </si>
  <si>
    <t>~Pb-214</t>
  </si>
  <si>
    <t>~At-218</t>
  </si>
  <si>
    <t>~Bi-214</t>
  </si>
  <si>
    <t>~Rn-218</t>
  </si>
  <si>
    <t>~Po-214</t>
  </si>
  <si>
    <t>~Tl-210</t>
  </si>
  <si>
    <t>~Pb-210</t>
  </si>
  <si>
    <t>~Bi-210</t>
  </si>
  <si>
    <t>~Hg-206</t>
  </si>
  <si>
    <t>~Po-210</t>
  </si>
  <si>
    <t>~Tl-206</t>
  </si>
  <si>
    <t>Site-Specific F-Surf is Composite 1, Corner, 10x10x10</t>
  </si>
  <si>
    <t>res_air_inh</t>
  </si>
  <si>
    <t>res_air_sub</t>
  </si>
  <si>
    <t>res_air_tot</t>
  </si>
  <si>
    <t>INSTRUCTIONS</t>
  </si>
  <si>
    <t xml:space="preserve">This file is managed by Karessa Manning. Other users will have limited editing power when using this spreadsheet. If you find something that you feel needs to be corrected please contact Karessa Manning so it can be resolved. </t>
  </si>
  <si>
    <t xml:space="preserve">The point of this QA sheet is to replicate the 'Default' and 'Site-Specific with Defaults' output results of the BDCC (Dose Compliance Concentrations for Radionuclides in Buildings at Superfund Sites) calculator. Below are instructions for understanding the ins and outs of this spreadsheet. </t>
  </si>
  <si>
    <t>Tab Descriptions</t>
  </si>
  <si>
    <t>These tabs present the dose for site-specific BDCCs based on user inputs.</t>
  </si>
  <si>
    <r>
      <t>The</t>
    </r>
    <r>
      <rPr>
        <i/>
        <sz val="11"/>
        <rFont val="Arial"/>
        <family val="2"/>
      </rPr>
      <t xml:space="preserve"> 'Doses' </t>
    </r>
    <r>
      <rPr>
        <sz val="11"/>
        <rFont val="Arial"/>
        <family val="2"/>
      </rPr>
      <t>tab contains all DCFs from the RAIS database table 'RAD_DOSES_ICRP107'.</t>
    </r>
  </si>
  <si>
    <t>The 'd' tab contains all the non isotope specific default values that are used to calculate BDCC in the defaults tabs.</t>
  </si>
  <si>
    <t>Relevant Cell Descriptions on Green Tabs</t>
  </si>
  <si>
    <t>These cells, in column A, represent the primary QA isotopes.</t>
  </si>
  <si>
    <t>These cells, in column A, represent the progeny for the primary QA isotopes.</t>
  </si>
  <si>
    <r>
      <t xml:space="preserve">In column B, under the </t>
    </r>
    <r>
      <rPr>
        <b/>
        <sz val="10"/>
        <rFont val="Arial"/>
        <family val="2"/>
      </rPr>
      <t xml:space="preserve">'TEST' </t>
    </r>
    <r>
      <rPr>
        <sz val="10"/>
        <rFont val="Arial"/>
        <family val="2"/>
      </rPr>
      <t>filter, a value of '</t>
    </r>
    <r>
      <rPr>
        <b/>
        <sz val="10"/>
        <rFont val="Arial"/>
        <family val="2"/>
      </rPr>
      <t>Y</t>
    </r>
    <r>
      <rPr>
        <sz val="10"/>
        <rFont val="Arial"/>
        <family val="2"/>
      </rPr>
      <t>' means it is a primary test isotope and '</t>
    </r>
    <r>
      <rPr>
        <b/>
        <sz val="10"/>
        <rFont val="Arial"/>
        <family val="2"/>
      </rPr>
      <t>SE</t>
    </r>
    <r>
      <rPr>
        <sz val="10"/>
        <rFont val="Arial"/>
        <family val="2"/>
      </rPr>
      <t>' means it is a progeny for a primary test isotope.</t>
    </r>
  </si>
  <si>
    <t>Important Notes</t>
  </si>
  <si>
    <t>These cells, are calculated based on specific inputs and cannot be altered unless the respective inputs are altered.</t>
  </si>
  <si>
    <t xml:space="preserve">The 'ss' tab contains all the non isotope specific site-specific values that are used to calculate BDCCs in the site specific tabs. </t>
  </si>
  <si>
    <r>
      <t>yr</t>
    </r>
    <r>
      <rPr>
        <b/>
        <vertAlign val="superscript"/>
        <sz val="12"/>
        <rFont val="Arial"/>
        <family val="2"/>
      </rPr>
      <t>-</t>
    </r>
    <r>
      <rPr>
        <vertAlign val="superscript"/>
        <sz val="12"/>
        <rFont val="Arial"/>
        <family val="2"/>
      </rPr>
      <t>1</t>
    </r>
  </si>
  <si>
    <t>unitless</t>
  </si>
  <si>
    <r>
      <t>cm</t>
    </r>
    <r>
      <rPr>
        <sz val="11"/>
        <rFont val="Arial"/>
        <family val="2"/>
      </rPr>
      <t>²</t>
    </r>
    <r>
      <rPr>
        <sz val="10"/>
        <rFont val="Arial"/>
        <family val="2"/>
      </rPr>
      <t>/event</t>
    </r>
  </si>
  <si>
    <r>
      <t>m</t>
    </r>
    <r>
      <rPr>
        <sz val="11"/>
        <rFont val="Arial"/>
        <family val="2"/>
      </rPr>
      <t>³</t>
    </r>
    <r>
      <rPr>
        <sz val="10"/>
        <rFont val="Arial"/>
        <family val="2"/>
      </rPr>
      <t>/day</t>
    </r>
  </si>
  <si>
    <r>
      <t>cm</t>
    </r>
    <r>
      <rPr>
        <sz val="11"/>
        <rFont val="Arial"/>
        <family val="2"/>
      </rPr>
      <t>²</t>
    </r>
    <r>
      <rPr>
        <sz val="10"/>
        <rFont val="Arial"/>
        <family val="2"/>
      </rPr>
      <t>/day</t>
    </r>
  </si>
  <si>
    <t>cm/m</t>
  </si>
  <si>
    <t>gram</t>
  </si>
  <si>
    <r>
      <t>cm</t>
    </r>
    <r>
      <rPr>
        <sz val="11"/>
        <rFont val="Arial"/>
        <family val="2"/>
      </rPr>
      <t>²</t>
    </r>
    <r>
      <rPr>
        <sz val="10"/>
        <rFont val="Arial"/>
        <family val="2"/>
      </rPr>
      <t>/year</t>
    </r>
  </si>
  <si>
    <r>
      <t>m</t>
    </r>
    <r>
      <rPr>
        <sz val="11"/>
        <rFont val="Arial"/>
        <family val="2"/>
      </rPr>
      <t>³</t>
    </r>
    <r>
      <rPr>
        <sz val="10"/>
        <rFont val="Arial"/>
        <family val="2"/>
      </rPr>
      <t>/year</t>
    </r>
  </si>
  <si>
    <t>s_SSL</t>
  </si>
  <si>
    <t>dose concentration</t>
  </si>
  <si>
    <t>s_EDres-c</t>
  </si>
  <si>
    <t>years</t>
  </si>
  <si>
    <t>s_EDres-a</t>
  </si>
  <si>
    <t>s_EDres</t>
  </si>
  <si>
    <t>These cells contain the secular equilibrium BDCCs.</t>
  </si>
  <si>
    <t>(mg/kg)</t>
  </si>
  <si>
    <t>ind_air_inh</t>
  </si>
  <si>
    <t>ind_air_sub</t>
  </si>
  <si>
    <t>ind_air_tot</t>
  </si>
  <si>
    <t>These cells contain the fractional contribution of the progeny to the secular equilibrium BDCCs.</t>
  </si>
  <si>
    <r>
      <t xml:space="preserve">These tabs present secular equlibrium BDCCs in units of pCi and Bq for the no decay output options of the BDCC calculator. Tabs that begin with s_ should be used to test the site-specific output and use inputs from the 'ss' tab. Tabs that do </t>
    </r>
    <r>
      <rPr>
        <b/>
        <i/>
        <sz val="11"/>
        <color indexed="9"/>
        <rFont val="Arial"/>
        <family val="2"/>
      </rPr>
      <t>not</t>
    </r>
    <r>
      <rPr>
        <b/>
        <sz val="11"/>
        <color indexed="9"/>
        <rFont val="Arial"/>
        <family val="2"/>
      </rPr>
      <t xml:space="preserve"> begin with s_ should be used to test the default output and use inputs from the 'd' tab.</t>
    </r>
  </si>
  <si>
    <t>DPM</t>
  </si>
  <si>
    <t>dpm</t>
  </si>
  <si>
    <t>s_IFDiw</t>
  </si>
  <si>
    <t>ACFGP</t>
  </si>
  <si>
    <t>ACFGP_20</t>
  </si>
  <si>
    <t>Since this tool is used to calculate 'dose' instead of 'dose', the one hit rule is not employed.</t>
  </si>
  <si>
    <t>s_FSAres-c</t>
  </si>
  <si>
    <t>s_FSAres-a</t>
  </si>
  <si>
    <t>s_FTSSh-a</t>
  </si>
  <si>
    <t>s_FTSSh-c</t>
  </si>
  <si>
    <t>s_FTSSs-a</t>
  </si>
  <si>
    <t>s_FTSSs-c</t>
  </si>
  <si>
    <t>(pCi or Bq)</t>
  </si>
  <si>
    <t>dose</t>
  </si>
  <si>
    <t>res_air_ing</t>
  </si>
  <si>
    <t>res_air_ext</t>
  </si>
  <si>
    <t>ind_air_ing</t>
  </si>
  <si>
    <t>ind_air_ext</t>
  </si>
  <si>
    <t>These cells represent 'dose' for individual progeny.</t>
  </si>
  <si>
    <t>These cells represent 'Total dose' by route and media.</t>
  </si>
  <si>
    <r>
      <t>The '</t>
    </r>
    <r>
      <rPr>
        <i/>
        <sz val="11"/>
        <rFont val="Arial"/>
        <family val="2"/>
      </rPr>
      <t>Isospec</t>
    </r>
    <r>
      <rPr>
        <sz val="11"/>
        <rFont val="Arial"/>
        <family val="2"/>
      </rPr>
      <t>' tab contains all isotope specific values from the RAIS database.</t>
    </r>
  </si>
  <si>
    <t>CDI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</si>
</sst>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31">
    <font>
      <sz val="10"/>
      <name val="Arial"/>
    </font>
    <font>
      <sz val="10"/>
      <name val="Arial"/>
      <family val="2"/>
    </font>
    <font>
      <sz val="10"/>
      <name val="Arial"/>
      <family val="2"/>
    </font>
    <font>
      <sz val="11"/>
      <name val="Arial"/>
      <family val="2"/>
    </font>
    <font>
      <b/>
      <sz val="10"/>
      <name val="Arial"/>
      <family val="2"/>
    </font>
    <font>
      <sz val="10"/>
      <name val="Calibri (body)"/>
    </font>
    <font>
      <b/>
      <sz val="14"/>
      <name val="Arial"/>
      <family val="2"/>
    </font>
    <font>
      <b/>
      <sz val="11"/>
      <name val="Arial"/>
      <family val="2"/>
    </font>
    <font>
      <sz val="12"/>
      <name val="Arial"/>
      <family val="2"/>
    </font>
    <font>
      <b/>
      <sz val="12"/>
      <name val="Arial"/>
      <family val="2"/>
    </font>
    <font>
      <b/>
      <i/>
      <sz val="11"/>
      <color indexed="9"/>
      <name val="Arial"/>
      <family val="2"/>
    </font>
    <font>
      <b/>
      <sz val="11"/>
      <color indexed="9"/>
      <name val="Arial"/>
      <family val="2"/>
    </font>
    <font>
      <i/>
      <sz val="11"/>
      <name val="Arial"/>
      <family val="2"/>
    </font>
    <font>
      <b/>
      <vertAlign val="superscript"/>
      <sz val="12"/>
      <name val="Arial"/>
      <family val="2"/>
    </font>
    <font>
      <vertAlign val="superscript"/>
      <sz val="12"/>
      <name val="Arial"/>
      <family val="2"/>
    </font>
    <font>
      <b/>
      <sz val="22"/>
      <color rgb="FFFF0000"/>
      <name val="Arial"/>
      <family val="2"/>
    </font>
    <font>
      <b/>
      <sz val="11"/>
      <color theme="0"/>
      <name val="Arial"/>
      <family val="2"/>
    </font>
    <font>
      <sz val="10"/>
      <color theme="9" tint="-0.499984740745262"/>
      <name val="Arial"/>
      <family val="2"/>
    </font>
    <font>
      <i/>
      <sz val="10"/>
      <color theme="0"/>
      <name val="Arial"/>
      <family val="2"/>
    </font>
    <font>
      <sz val="10"/>
      <color theme="0"/>
      <name val="Calibri (body)"/>
    </font>
    <font>
      <i/>
      <sz val="10"/>
      <color theme="1"/>
      <name val="Calibri (body)"/>
    </font>
    <font>
      <sz val="10"/>
      <color rgb="FF151515"/>
      <name val="Calibri (body)"/>
    </font>
    <font>
      <i/>
      <sz val="10"/>
      <color theme="0"/>
      <name val="Calibri (body)"/>
    </font>
    <font>
      <b/>
      <sz val="10"/>
      <color rgb="FFFF0000"/>
      <name val="Arial"/>
      <family val="2"/>
    </font>
    <font>
      <sz val="10"/>
      <color theme="0"/>
      <name val="Arial"/>
      <family val="2"/>
    </font>
    <font>
      <b/>
      <sz val="14"/>
      <color theme="1"/>
      <name val="Calibri"/>
      <family val="2"/>
      <scheme val="minor"/>
    </font>
    <font>
      <b/>
      <sz val="11"/>
      <color theme="0"/>
      <name val="Calibri"/>
      <family val="2"/>
      <scheme val="minor"/>
    </font>
    <font>
      <b/>
      <sz val="10"/>
      <name val="Calibri (body)"/>
    </font>
    <font>
      <b/>
      <i/>
      <sz val="11"/>
      <color theme="0"/>
      <name val="Calibri"/>
      <family val="2"/>
      <scheme val="minor"/>
    </font>
    <font>
      <i/>
      <sz val="11"/>
      <color theme="1"/>
      <name val="Calibri"/>
      <family val="2"/>
      <scheme val="minor"/>
    </font>
    <font>
      <sz val="11"/>
      <color rgb="FF151515"/>
      <name val="Calibri"/>
      <family val="2"/>
      <scheme val="minor"/>
    </font>
  </fonts>
  <fills count="16">
    <fill>
      <patternFill patternType="none"/>
    </fill>
    <fill>
      <patternFill patternType="gray125"/>
    </fill>
    <fill>
      <patternFill patternType="solid">
        <fgColor rgb="FF69D8FF"/>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D5F4FF"/>
        <bgColor indexed="64"/>
      </patternFill>
    </fill>
    <fill>
      <patternFill patternType="solid">
        <fgColor rgb="FFAD5BFF"/>
        <bgColor indexed="64"/>
      </patternFill>
    </fill>
    <fill>
      <patternFill patternType="solid">
        <fgColor rgb="FFD9B3FF"/>
        <bgColor indexed="64"/>
      </patternFill>
    </fill>
    <fill>
      <patternFill patternType="solid">
        <fgColor theme="9" tint="-0.49998474074526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F8CBAD"/>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8" tint="0.59999389629810485"/>
        <bgColor indexed="64"/>
      </patternFill>
    </fill>
  </fills>
  <borders count="23">
    <border>
      <left/>
      <right/>
      <top/>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3">
    <xf numFmtId="0" fontId="0" fillId="0" borderId="0"/>
    <xf numFmtId="0" fontId="1" fillId="0" borderId="0"/>
    <xf numFmtId="0" fontId="1" fillId="0" borderId="0"/>
  </cellStyleXfs>
  <cellXfs count="150">
    <xf numFmtId="0" fontId="0" fillId="0" borderId="0" xfId="0" applyProtection="1">
      <protection locked="0"/>
    </xf>
    <xf numFmtId="0" fontId="0" fillId="0" borderId="0" xfId="0" applyAlignment="1" applyProtection="1">
      <alignment horizontal="center"/>
      <protection locked="0"/>
    </xf>
    <xf numFmtId="11" fontId="0" fillId="0" borderId="1" xfId="0" applyNumberFormat="1" applyBorder="1" applyAlignment="1" applyProtection="1">
      <alignment horizontal="center"/>
    </xf>
    <xf numFmtId="11" fontId="0" fillId="0" borderId="0" xfId="0" applyNumberFormat="1" applyBorder="1" applyAlignment="1" applyProtection="1">
      <alignment horizontal="center"/>
    </xf>
    <xf numFmtId="11" fontId="0" fillId="0" borderId="2" xfId="0" applyNumberFormat="1" applyBorder="1" applyAlignment="1" applyProtection="1">
      <alignment horizontal="center"/>
    </xf>
    <xf numFmtId="11" fontId="0" fillId="0" borderId="9" xfId="0" applyNumberFormat="1" applyBorder="1" applyAlignment="1" applyProtection="1">
      <alignment horizontal="center"/>
    </xf>
    <xf numFmtId="0" fontId="4" fillId="0" borderId="0" xfId="0" applyFont="1" applyProtection="1">
      <protection locked="0"/>
    </xf>
    <xf numFmtId="0" fontId="15" fillId="0" borderId="0" xfId="1" applyFont="1" applyAlignment="1" applyProtection="1">
      <alignment vertical="center"/>
      <protection locked="0"/>
    </xf>
    <xf numFmtId="0" fontId="1" fillId="0" borderId="0" xfId="1" applyProtection="1">
      <protection locked="0"/>
    </xf>
    <xf numFmtId="0" fontId="7" fillId="0" borderId="0" xfId="1" applyFont="1" applyAlignment="1" applyProtection="1">
      <alignment wrapText="1"/>
      <protection locked="0"/>
    </xf>
    <xf numFmtId="0" fontId="16" fillId="0" borderId="0" xfId="1" applyFont="1" applyFill="1" applyAlignment="1" applyProtection="1">
      <protection locked="0"/>
    </xf>
    <xf numFmtId="0" fontId="4" fillId="0" borderId="0" xfId="0" applyFont="1" applyProtection="1"/>
    <xf numFmtId="0" fontId="1" fillId="0" borderId="0" xfId="0" applyFont="1" applyProtection="1">
      <protection locked="0"/>
    </xf>
    <xf numFmtId="0" fontId="1" fillId="0" borderId="0" xfId="0" applyFont="1" applyAlignment="1">
      <alignment vertical="center"/>
    </xf>
    <xf numFmtId="164" fontId="1" fillId="4" borderId="0" xfId="0" applyNumberFormat="1" applyFont="1" applyFill="1" applyAlignment="1" applyProtection="1">
      <alignment horizontal="center" vertical="center"/>
    </xf>
    <xf numFmtId="0" fontId="1" fillId="4" borderId="0" xfId="0" applyFont="1" applyFill="1" applyAlignment="1" applyProtection="1">
      <alignment horizontal="center" vertical="center"/>
    </xf>
    <xf numFmtId="0" fontId="1" fillId="0" borderId="0" xfId="0" applyFont="1" applyAlignment="1">
      <alignment horizontal="center" vertical="center"/>
    </xf>
    <xf numFmtId="0" fontId="17" fillId="3" borderId="0" xfId="0" applyFont="1" applyFill="1" applyAlignment="1" applyProtection="1">
      <alignment horizontal="center"/>
    </xf>
    <xf numFmtId="2" fontId="17" fillId="3" borderId="0" xfId="0" applyNumberFormat="1" applyFont="1" applyFill="1" applyAlignment="1" applyProtection="1">
      <alignment horizontal="center"/>
    </xf>
    <xf numFmtId="11" fontId="18" fillId="6" borderId="0" xfId="0" applyNumberFormat="1" applyFont="1" applyFill="1" applyBorder="1" applyAlignment="1" applyProtection="1">
      <alignment horizontal="center"/>
    </xf>
    <xf numFmtId="11" fontId="18" fillId="6" borderId="1" xfId="0" applyNumberFormat="1" applyFont="1" applyFill="1" applyBorder="1" applyAlignment="1" applyProtection="1">
      <alignment horizontal="center"/>
    </xf>
    <xf numFmtId="11" fontId="18" fillId="6" borderId="9" xfId="0" applyNumberFormat="1" applyFont="1" applyFill="1" applyBorder="1" applyAlignment="1" applyProtection="1">
      <alignment horizontal="center"/>
    </xf>
    <xf numFmtId="0" fontId="0" fillId="0" borderId="0" xfId="0" applyProtection="1"/>
    <xf numFmtId="0" fontId="0" fillId="0" borderId="6" xfId="0" applyBorder="1" applyProtection="1"/>
    <xf numFmtId="0" fontId="0" fillId="0" borderId="7" xfId="0" applyBorder="1" applyProtection="1"/>
    <xf numFmtId="0" fontId="0" fillId="0" borderId="11" xfId="0" applyBorder="1" applyProtection="1"/>
    <xf numFmtId="0" fontId="2" fillId="0" borderId="0" xfId="0" applyFont="1" applyProtection="1"/>
    <xf numFmtId="0" fontId="4" fillId="0" borderId="3" xfId="0" applyFont="1" applyBorder="1" applyAlignment="1" applyProtection="1">
      <alignment horizontal="center"/>
    </xf>
    <xf numFmtId="0" fontId="4" fillId="0" borderId="4" xfId="0" applyFont="1" applyBorder="1" applyAlignment="1" applyProtection="1">
      <alignment horizontal="center"/>
    </xf>
    <xf numFmtId="0" fontId="4" fillId="0" borderId="10" xfId="0" applyFont="1" applyBorder="1" applyAlignment="1" applyProtection="1">
      <alignment horizontal="center"/>
    </xf>
    <xf numFmtId="0" fontId="19" fillId="6" borderId="0" xfId="0" applyFont="1" applyFill="1" applyAlignment="1" applyProtection="1">
      <alignment horizontal="right"/>
    </xf>
    <xf numFmtId="0" fontId="20" fillId="7" borderId="0" xfId="0" applyFont="1" applyFill="1" applyAlignment="1" applyProtection="1">
      <alignment horizontal="right"/>
    </xf>
    <xf numFmtId="0" fontId="5" fillId="7" borderId="0" xfId="0" applyFont="1" applyFill="1" applyAlignment="1" applyProtection="1">
      <alignment horizontal="right"/>
    </xf>
    <xf numFmtId="0" fontId="21" fillId="7" borderId="0" xfId="0" applyFont="1" applyFill="1" applyAlignment="1" applyProtection="1">
      <alignment horizontal="right"/>
    </xf>
    <xf numFmtId="0" fontId="5" fillId="7" borderId="0" xfId="0" applyNumberFormat="1" applyFont="1" applyFill="1" applyAlignment="1" applyProtection="1">
      <alignment horizontal="right"/>
    </xf>
    <xf numFmtId="0" fontId="2" fillId="0" borderId="6" xfId="0" applyFont="1" applyBorder="1" applyProtection="1"/>
    <xf numFmtId="0" fontId="2" fillId="0" borderId="7" xfId="0" applyFont="1" applyBorder="1" applyProtection="1"/>
    <xf numFmtId="0" fontId="2" fillId="0" borderId="11" xfId="0" applyFont="1" applyBorder="1" applyProtection="1"/>
    <xf numFmtId="0" fontId="2" fillId="0" borderId="8" xfId="0" applyFont="1" applyBorder="1" applyProtection="1"/>
    <xf numFmtId="0" fontId="4" fillId="0" borderId="5" xfId="0" applyFont="1" applyBorder="1" applyAlignment="1" applyProtection="1">
      <alignment horizontal="center"/>
    </xf>
    <xf numFmtId="11" fontId="4" fillId="0" borderId="0" xfId="0" applyNumberFormat="1" applyFont="1" applyProtection="1">
      <protection locked="0"/>
    </xf>
    <xf numFmtId="0" fontId="17" fillId="3" borderId="12" xfId="0" applyFont="1" applyFill="1" applyBorder="1" applyProtection="1"/>
    <xf numFmtId="0" fontId="1" fillId="0" borderId="13" xfId="0" applyFont="1" applyBorder="1" applyProtection="1"/>
    <xf numFmtId="0" fontId="15" fillId="0" borderId="0" xfId="1" applyFont="1" applyAlignment="1" applyProtection="1">
      <alignment horizontal="center" vertical="center"/>
    </xf>
    <xf numFmtId="0" fontId="6" fillId="0" borderId="0" xfId="1" applyFont="1" applyAlignment="1" applyProtection="1">
      <alignment vertical="top" wrapText="1"/>
    </xf>
    <xf numFmtId="0" fontId="7" fillId="0" borderId="0" xfId="1" applyFont="1" applyAlignment="1" applyProtection="1">
      <alignment wrapText="1"/>
    </xf>
    <xf numFmtId="0" fontId="8" fillId="0" borderId="0" xfId="1" applyFont="1" applyAlignment="1" applyProtection="1">
      <alignment wrapText="1"/>
    </xf>
    <xf numFmtId="0" fontId="9" fillId="0" borderId="0" xfId="1" applyFont="1" applyAlignment="1" applyProtection="1">
      <alignment horizontal="center"/>
    </xf>
    <xf numFmtId="0" fontId="16" fillId="8" borderId="12" xfId="1" applyFont="1" applyFill="1" applyBorder="1" applyAlignment="1" applyProtection="1">
      <alignment wrapText="1"/>
    </xf>
    <xf numFmtId="0" fontId="7" fillId="9" borderId="13" xfId="1" applyFont="1" applyFill="1" applyBorder="1" applyProtection="1"/>
    <xf numFmtId="0" fontId="7" fillId="0" borderId="13" xfId="1" applyFont="1" applyFill="1" applyBorder="1" applyProtection="1"/>
    <xf numFmtId="0" fontId="3" fillId="0" borderId="13" xfId="1" applyFont="1" applyBorder="1" applyProtection="1"/>
    <xf numFmtId="0" fontId="3" fillId="0" borderId="14" xfId="1" applyFont="1" applyBorder="1" applyProtection="1"/>
    <xf numFmtId="0" fontId="1" fillId="2" borderId="12" xfId="1" applyFont="1" applyFill="1" applyBorder="1" applyProtection="1"/>
    <xf numFmtId="0" fontId="1" fillId="5" borderId="13" xfId="1" applyFont="1" applyFill="1" applyBorder="1" applyProtection="1"/>
    <xf numFmtId="0" fontId="1" fillId="0" borderId="13" xfId="1" applyFont="1" applyBorder="1" applyProtection="1"/>
    <xf numFmtId="0" fontId="24" fillId="6" borderId="13" xfId="1" applyFont="1" applyFill="1" applyBorder="1" applyProtection="1"/>
    <xf numFmtId="0" fontId="1" fillId="7" borderId="14" xfId="1" applyFill="1" applyBorder="1" applyProtection="1"/>
    <xf numFmtId="0" fontId="1" fillId="0" borderId="0" xfId="1" applyProtection="1"/>
    <xf numFmtId="1" fontId="17" fillId="3" borderId="0" xfId="0" applyNumberFormat="1" applyFont="1" applyFill="1" applyAlignment="1" applyProtection="1">
      <alignment horizontal="center"/>
      <protection locked="0"/>
    </xf>
    <xf numFmtId="0" fontId="4" fillId="0" borderId="20" xfId="0" applyFont="1" applyBorder="1" applyAlignment="1" applyProtection="1">
      <alignment horizontal="center"/>
      <protection locked="0"/>
    </xf>
    <xf numFmtId="0" fontId="1" fillId="0" borderId="21" xfId="0" applyFont="1" applyBorder="1" applyProtection="1">
      <protection locked="0"/>
    </xf>
    <xf numFmtId="11" fontId="0" fillId="0" borderId="22" xfId="0" applyNumberFormat="1" applyBorder="1" applyAlignment="1" applyProtection="1">
      <alignment horizontal="center"/>
      <protection locked="0"/>
    </xf>
    <xf numFmtId="11" fontId="18" fillId="6" borderId="9" xfId="0" applyNumberFormat="1" applyFont="1" applyFill="1" applyBorder="1" applyAlignment="1" applyProtection="1">
      <alignment horizontal="center"/>
      <protection locked="0"/>
    </xf>
    <xf numFmtId="11" fontId="0" fillId="7" borderId="9" xfId="0" applyNumberFormat="1" applyFill="1" applyBorder="1" applyAlignment="1" applyProtection="1">
      <alignment horizontal="center"/>
      <protection locked="0"/>
    </xf>
    <xf numFmtId="11" fontId="5" fillId="7" borderId="1" xfId="0" applyNumberFormat="1" applyFont="1" applyFill="1" applyBorder="1" applyAlignment="1" applyProtection="1">
      <alignment horizontal="right"/>
    </xf>
    <xf numFmtId="11" fontId="5" fillId="7" borderId="0" xfId="0" applyNumberFormat="1" applyFont="1" applyFill="1" applyBorder="1" applyAlignment="1" applyProtection="1">
      <alignment horizontal="right"/>
    </xf>
    <xf numFmtId="11" fontId="5" fillId="7" borderId="9" xfId="0" applyNumberFormat="1" applyFont="1" applyFill="1" applyBorder="1" applyAlignment="1" applyProtection="1">
      <alignment horizontal="right"/>
    </xf>
    <xf numFmtId="11" fontId="19" fillId="6" borderId="1" xfId="0" applyNumberFormat="1" applyFont="1" applyFill="1" applyBorder="1" applyAlignment="1" applyProtection="1">
      <alignment horizontal="center"/>
    </xf>
    <xf numFmtId="11" fontId="19" fillId="6" borderId="0" xfId="0" applyNumberFormat="1" applyFont="1" applyFill="1" applyBorder="1" applyAlignment="1" applyProtection="1">
      <alignment horizontal="center"/>
    </xf>
    <xf numFmtId="11" fontId="19" fillId="6" borderId="9" xfId="0" applyNumberFormat="1" applyFont="1" applyFill="1" applyBorder="1" applyAlignment="1" applyProtection="1">
      <alignment horizontal="center"/>
    </xf>
    <xf numFmtId="11" fontId="22" fillId="6" borderId="1" xfId="0" applyNumberFormat="1" applyFont="1" applyFill="1" applyBorder="1" applyAlignment="1" applyProtection="1">
      <alignment horizontal="right"/>
    </xf>
    <xf numFmtId="11" fontId="22" fillId="6" borderId="0" xfId="0" applyNumberFormat="1" applyFont="1" applyFill="1" applyBorder="1" applyAlignment="1" applyProtection="1">
      <alignment horizontal="right"/>
    </xf>
    <xf numFmtId="11" fontId="22" fillId="6" borderId="9" xfId="0" applyNumberFormat="1" applyFont="1" applyFill="1" applyBorder="1" applyAlignment="1" applyProtection="1">
      <alignment horizontal="right"/>
    </xf>
    <xf numFmtId="0" fontId="4" fillId="0" borderId="22" xfId="0" applyFont="1" applyBorder="1" applyAlignment="1" applyProtection="1">
      <alignment horizontal="center"/>
      <protection locked="0"/>
    </xf>
    <xf numFmtId="0" fontId="1" fillId="0" borderId="0" xfId="0" applyFont="1"/>
    <xf numFmtId="11" fontId="1" fillId="0" borderId="0" xfId="0" applyNumberFormat="1" applyFont="1"/>
    <xf numFmtId="0" fontId="4" fillId="0" borderId="0" xfId="0" applyFont="1"/>
    <xf numFmtId="11" fontId="4" fillId="0" borderId="0" xfId="0" applyNumberFormat="1" applyFont="1"/>
    <xf numFmtId="11" fontId="1" fillId="3" borderId="0" xfId="0" applyNumberFormat="1" applyFont="1" applyFill="1"/>
    <xf numFmtId="0" fontId="1" fillId="0" borderId="0" xfId="0" applyFont="1" applyAlignment="1">
      <alignment horizontal="center"/>
    </xf>
    <xf numFmtId="11" fontId="0" fillId="0" borderId="0" xfId="0" applyNumberFormat="1" applyProtection="1">
      <protection locked="0"/>
    </xf>
    <xf numFmtId="0" fontId="1" fillId="5" borderId="0" xfId="0" applyFont="1" applyFill="1"/>
    <xf numFmtId="0" fontId="1" fillId="2" borderId="0" xfId="0" applyFont="1" applyFill="1"/>
    <xf numFmtId="0" fontId="1" fillId="12" borderId="0" xfId="0" applyFont="1" applyFill="1" applyProtection="1">
      <protection locked="0"/>
    </xf>
    <xf numFmtId="0" fontId="1" fillId="10" borderId="0" xfId="0" applyFont="1" applyFill="1" applyProtection="1">
      <protection locked="0"/>
    </xf>
    <xf numFmtId="0" fontId="4" fillId="0" borderId="0" xfId="0" applyFont="1" applyAlignment="1">
      <alignment horizontal="left" vertical="top"/>
    </xf>
    <xf numFmtId="0" fontId="0" fillId="0" borderId="0" xfId="0" applyAlignment="1">
      <alignment horizontal="left" vertical="top"/>
    </xf>
    <xf numFmtId="0" fontId="0" fillId="0" borderId="0" xfId="0"/>
    <xf numFmtId="11" fontId="18" fillId="6" borderId="22" xfId="0" applyNumberFormat="1" applyFont="1" applyFill="1" applyBorder="1" applyAlignment="1" applyProtection="1">
      <alignment horizontal="center"/>
      <protection locked="0"/>
    </xf>
    <xf numFmtId="11" fontId="0" fillId="7" borderId="22" xfId="0" applyNumberFormat="1" applyFill="1" applyBorder="1" applyAlignment="1" applyProtection="1">
      <alignment horizontal="center"/>
      <protection locked="0"/>
    </xf>
    <xf numFmtId="0" fontId="5" fillId="0" borderId="6" xfId="0" applyFont="1" applyBorder="1" applyProtection="1">
      <protection locked="0"/>
    </xf>
    <xf numFmtId="0" fontId="5" fillId="0" borderId="7" xfId="0" applyFont="1" applyBorder="1" applyProtection="1">
      <protection locked="0"/>
    </xf>
    <xf numFmtId="0" fontId="27" fillId="0" borderId="3" xfId="0" applyFont="1" applyBorder="1" applyAlignment="1" applyProtection="1">
      <alignment horizontal="center"/>
      <protection locked="0"/>
    </xf>
    <xf numFmtId="0" fontId="27" fillId="0" borderId="10" xfId="0" applyFont="1" applyBorder="1" applyAlignment="1" applyProtection="1">
      <alignment horizontal="center"/>
      <protection locked="0"/>
    </xf>
    <xf numFmtId="11" fontId="0" fillId="0" borderId="1" xfId="0" applyNumberFormat="1" applyBorder="1" applyAlignment="1">
      <alignment horizontal="center"/>
    </xf>
    <xf numFmtId="11" fontId="0" fillId="0" borderId="0" xfId="0" applyNumberFormat="1" applyAlignment="1">
      <alignment horizontal="center"/>
    </xf>
    <xf numFmtId="0" fontId="1" fillId="0" borderId="6" xfId="0" applyFont="1" applyBorder="1"/>
    <xf numFmtId="0" fontId="1" fillId="0" borderId="7" xfId="0" applyFont="1" applyBorder="1"/>
    <xf numFmtId="0" fontId="1" fillId="0" borderId="8" xfId="0" applyFont="1" applyBorder="1"/>
    <xf numFmtId="0" fontId="4" fillId="0" borderId="3" xfId="0" applyFont="1" applyBorder="1" applyAlignment="1" applyProtection="1">
      <alignment horizontal="center"/>
      <protection locked="0"/>
    </xf>
    <xf numFmtId="0" fontId="4" fillId="0" borderId="4" xfId="0" applyFont="1" applyBorder="1" applyAlignment="1" applyProtection="1">
      <alignment horizontal="center"/>
      <protection locked="0"/>
    </xf>
    <xf numFmtId="0" fontId="4" fillId="0" borderId="10" xfId="0" applyFont="1" applyBorder="1" applyAlignment="1" applyProtection="1">
      <alignment horizontal="center"/>
      <protection locked="0"/>
    </xf>
    <xf numFmtId="11" fontId="0" fillId="0" borderId="9" xfId="0" applyNumberFormat="1" applyBorder="1" applyAlignment="1">
      <alignment horizontal="center"/>
    </xf>
    <xf numFmtId="0" fontId="26" fillId="13" borderId="0" xfId="0" applyFont="1" applyFill="1" applyAlignment="1">
      <alignment horizontal="left"/>
    </xf>
    <xf numFmtId="11" fontId="28" fillId="13" borderId="6" xfId="0" applyNumberFormat="1" applyFont="1" applyFill="1" applyBorder="1" applyAlignment="1">
      <alignment horizontal="left"/>
    </xf>
    <xf numFmtId="11" fontId="28" fillId="13" borderId="7" xfId="0" applyNumberFormat="1" applyFont="1" applyFill="1" applyBorder="1" applyAlignment="1">
      <alignment horizontal="left"/>
    </xf>
    <xf numFmtId="11" fontId="28" fillId="13" borderId="11" xfId="0" applyNumberFormat="1" applyFont="1" applyFill="1" applyBorder="1" applyAlignment="1">
      <alignment horizontal="left"/>
    </xf>
    <xf numFmtId="0" fontId="29" fillId="14" borderId="0" xfId="0" applyFont="1" applyFill="1" applyAlignment="1">
      <alignment horizontal="left"/>
    </xf>
    <xf numFmtId="0" fontId="0" fillId="14" borderId="0" xfId="0" applyFill="1" applyAlignment="1">
      <alignment horizontal="left"/>
    </xf>
    <xf numFmtId="11" fontId="0" fillId="15" borderId="1" xfId="0" applyNumberFormat="1" applyFill="1" applyBorder="1" applyAlignment="1">
      <alignment horizontal="left"/>
    </xf>
    <xf numFmtId="11" fontId="0" fillId="15" borderId="0" xfId="0" applyNumberFormat="1" applyFill="1" applyAlignment="1">
      <alignment horizontal="left"/>
    </xf>
    <xf numFmtId="11" fontId="0" fillId="15" borderId="9" xfId="0" applyNumberFormat="1" applyFill="1" applyBorder="1" applyAlignment="1">
      <alignment horizontal="left"/>
    </xf>
    <xf numFmtId="0" fontId="30" fillId="14" borderId="0" xfId="0" applyFont="1" applyFill="1" applyAlignment="1">
      <alignment horizontal="left"/>
    </xf>
    <xf numFmtId="11" fontId="28" fillId="13" borderId="1" xfId="0" applyNumberFormat="1" applyFont="1" applyFill="1" applyBorder="1" applyAlignment="1">
      <alignment horizontal="left"/>
    </xf>
    <xf numFmtId="11" fontId="28" fillId="13" borderId="0" xfId="0" applyNumberFormat="1" applyFont="1" applyFill="1" applyAlignment="1">
      <alignment horizontal="left"/>
    </xf>
    <xf numFmtId="11" fontId="28" fillId="13" borderId="9" xfId="0" applyNumberFormat="1" applyFont="1" applyFill="1" applyBorder="1" applyAlignment="1">
      <alignment horizontal="left"/>
    </xf>
    <xf numFmtId="11" fontId="0" fillId="15" borderId="3" xfId="0" applyNumberFormat="1" applyFill="1" applyBorder="1" applyAlignment="1">
      <alignment horizontal="left"/>
    </xf>
    <xf numFmtId="11" fontId="0" fillId="15" borderId="4" xfId="0" applyNumberFormat="1" applyFill="1" applyBorder="1" applyAlignment="1">
      <alignment horizontal="left"/>
    </xf>
    <xf numFmtId="11" fontId="0" fillId="15" borderId="10" xfId="0" applyNumberFormat="1" applyFill="1" applyBorder="1" applyAlignment="1">
      <alignment horizontal="left"/>
    </xf>
    <xf numFmtId="0" fontId="27" fillId="0" borderId="4" xfId="0" applyFont="1" applyBorder="1" applyAlignment="1" applyProtection="1">
      <alignment horizontal="center"/>
      <protection locked="0"/>
    </xf>
    <xf numFmtId="11" fontId="28" fillId="13" borderId="0" xfId="0" applyNumberFormat="1" applyFont="1" applyFill="1" applyBorder="1" applyAlignment="1">
      <alignment horizontal="left"/>
    </xf>
    <xf numFmtId="11" fontId="0" fillId="15" borderId="0" xfId="0" applyNumberFormat="1" applyFill="1" applyBorder="1" applyAlignment="1">
      <alignment horizontal="left"/>
    </xf>
    <xf numFmtId="11" fontId="5" fillId="0" borderId="1" xfId="1" applyNumberFormat="1" applyFont="1" applyFill="1" applyBorder="1" applyAlignment="1" applyProtection="1">
      <alignment horizontal="center"/>
      <protection locked="0"/>
    </xf>
    <xf numFmtId="11" fontId="5" fillId="0" borderId="9" xfId="1" applyNumberFormat="1" applyFont="1" applyFill="1" applyBorder="1" applyAlignment="1" applyProtection="1">
      <alignment horizontal="center"/>
      <protection locked="0"/>
    </xf>
    <xf numFmtId="0" fontId="5" fillId="0" borderId="9" xfId="1" applyFont="1" applyFill="1" applyBorder="1" applyProtection="1">
      <protection locked="0"/>
    </xf>
    <xf numFmtId="11" fontId="0" fillId="0" borderId="0" xfId="0" applyNumberFormat="1" applyBorder="1" applyAlignment="1">
      <alignment horizontal="center"/>
    </xf>
    <xf numFmtId="11" fontId="1" fillId="0" borderId="0" xfId="0" applyNumberFormat="1" applyFont="1" applyAlignment="1" applyProtection="1">
      <alignment horizontal="center"/>
      <protection locked="0"/>
    </xf>
    <xf numFmtId="0" fontId="1" fillId="15" borderId="13" xfId="2" applyFill="1" applyBorder="1"/>
    <xf numFmtId="0" fontId="24" fillId="13" borderId="13" xfId="2" applyFont="1" applyFill="1" applyBorder="1"/>
    <xf numFmtId="0" fontId="3" fillId="0" borderId="13" xfId="0" applyFont="1" applyBorder="1"/>
    <xf numFmtId="0" fontId="25" fillId="0" borderId="15" xfId="0" applyFont="1" applyBorder="1" applyAlignment="1">
      <alignment horizontal="center"/>
    </xf>
    <xf numFmtId="0" fontId="25" fillId="0" borderId="16" xfId="0" applyFont="1" applyBorder="1" applyAlignment="1">
      <alignment horizontal="center"/>
    </xf>
    <xf numFmtId="0" fontId="25" fillId="0" borderId="17" xfId="0" applyFont="1" applyBorder="1" applyAlignment="1">
      <alignment horizontal="center"/>
    </xf>
    <xf numFmtId="0" fontId="25" fillId="10" borderId="15" xfId="0" applyFont="1" applyFill="1" applyBorder="1" applyAlignment="1">
      <alignment horizontal="center"/>
    </xf>
    <xf numFmtId="0" fontId="25" fillId="10" borderId="16" xfId="0" applyFont="1" applyFill="1" applyBorder="1" applyAlignment="1">
      <alignment horizontal="center"/>
    </xf>
    <xf numFmtId="0" fontId="25" fillId="10" borderId="17" xfId="0" applyFont="1" applyFill="1" applyBorder="1" applyAlignment="1">
      <alignment horizontal="center"/>
    </xf>
    <xf numFmtId="0" fontId="25" fillId="11" borderId="15" xfId="0" applyFont="1" applyFill="1" applyBorder="1" applyAlignment="1">
      <alignment horizontal="center"/>
    </xf>
    <xf numFmtId="0" fontId="25" fillId="11" borderId="16" xfId="0" applyFont="1" applyFill="1" applyBorder="1" applyAlignment="1">
      <alignment horizontal="center"/>
    </xf>
    <xf numFmtId="0" fontId="25" fillId="11" borderId="17" xfId="0" applyFont="1" applyFill="1" applyBorder="1" applyAlignment="1">
      <alignment horizontal="center"/>
    </xf>
    <xf numFmtId="0" fontId="4" fillId="0" borderId="18" xfId="0" applyFont="1" applyBorder="1" applyAlignment="1" applyProtection="1">
      <alignment horizontal="center"/>
    </xf>
    <xf numFmtId="0" fontId="4" fillId="0" borderId="19" xfId="0" applyFont="1" applyBorder="1" applyAlignment="1" applyProtection="1">
      <alignment horizontal="center"/>
    </xf>
    <xf numFmtId="0" fontId="4" fillId="0" borderId="6" xfId="0" applyFont="1" applyBorder="1" applyAlignment="1" applyProtection="1">
      <alignment horizontal="center"/>
    </xf>
    <xf numFmtId="0" fontId="4" fillId="0" borderId="7" xfId="0" applyFont="1" applyBorder="1" applyAlignment="1" applyProtection="1">
      <alignment horizontal="center"/>
    </xf>
    <xf numFmtId="0" fontId="4" fillId="0" borderId="8" xfId="0" applyFont="1" applyBorder="1" applyAlignment="1" applyProtection="1">
      <alignment horizontal="center"/>
    </xf>
    <xf numFmtId="0" fontId="4" fillId="0" borderId="18" xfId="0" applyFont="1" applyBorder="1" applyAlignment="1">
      <alignment horizontal="center"/>
    </xf>
    <xf numFmtId="0" fontId="4" fillId="0" borderId="19" xfId="0" applyFont="1" applyBorder="1" applyAlignment="1">
      <alignment horizontal="center"/>
    </xf>
    <xf numFmtId="0" fontId="27" fillId="0" borderId="15" xfId="0" applyFont="1" applyBorder="1" applyAlignment="1" applyProtection="1">
      <alignment horizontal="center"/>
      <protection locked="0"/>
    </xf>
    <xf numFmtId="0" fontId="27" fillId="0" borderId="16" xfId="0" applyFont="1" applyBorder="1" applyAlignment="1" applyProtection="1">
      <alignment horizontal="center"/>
      <protection locked="0"/>
    </xf>
    <xf numFmtId="0" fontId="23" fillId="0" borderId="0" xfId="0" applyFont="1" applyAlignment="1"/>
  </cellXfs>
  <cellStyles count="3">
    <cellStyle name="Normal" xfId="0" builtinId="0"/>
    <cellStyle name="Normal 2" xfId="1" xr:uid="{00000000-0005-0000-0000-000001000000}"/>
    <cellStyle name="Normal 2 2" xfId="2" xr:uid="{7D5AFECD-C089-4622-847C-FDA492470922}"/>
  </cellStyles>
  <dxfs count="0"/>
  <tableStyles count="0" defaultTableStyle="TableStyleMedium2" defaultPivotStyle="PivotStyleLight16"/>
  <colors>
    <mruColors>
      <color rgb="FFD9B3FF"/>
      <color rgb="FFAD5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N28"/>
  <sheetViews>
    <sheetView tabSelected="1" workbookViewId="0">
      <pane xSplit="1" ySplit="2" topLeftCell="B3" activePane="bottomRight" state="frozen"/>
      <selection pane="topRight" activeCell="B1" sqref="B1"/>
      <selection pane="bottomLeft" activeCell="A3" sqref="A3"/>
      <selection pane="bottomRight" activeCell="B3" sqref="B3"/>
    </sheetView>
  </sheetViews>
  <sheetFormatPr defaultRowHeight="12.75"/>
  <cols>
    <col min="1" max="1" width="9.140625" style="8"/>
    <col min="2" max="2" width="118.85546875" style="58" bestFit="1" customWidth="1"/>
    <col min="3" max="16384" width="9.140625" style="8"/>
  </cols>
  <sheetData>
    <row r="1" spans="2:14" ht="27.75">
      <c r="B1" s="43" t="s">
        <v>170</v>
      </c>
      <c r="C1" s="7"/>
      <c r="D1" s="7"/>
      <c r="E1" s="7"/>
      <c r="F1" s="7"/>
      <c r="G1" s="7"/>
      <c r="H1" s="7"/>
      <c r="I1" s="7"/>
      <c r="J1" s="7"/>
      <c r="K1" s="7"/>
      <c r="L1" s="7"/>
      <c r="M1" s="7"/>
      <c r="N1" s="7"/>
    </row>
    <row r="2" spans="2:14" ht="54">
      <c r="B2" s="44" t="s">
        <v>171</v>
      </c>
      <c r="C2" s="9"/>
      <c r="D2" s="9"/>
      <c r="E2" s="9"/>
      <c r="F2" s="9"/>
      <c r="G2" s="9"/>
      <c r="H2" s="9"/>
      <c r="I2" s="9"/>
      <c r="J2" s="9"/>
      <c r="K2" s="9"/>
      <c r="L2" s="9"/>
      <c r="M2" s="9"/>
      <c r="N2" s="9"/>
    </row>
    <row r="3" spans="2:14" ht="15">
      <c r="B3" s="45"/>
      <c r="C3" s="9"/>
      <c r="D3" s="9"/>
      <c r="E3" s="9"/>
      <c r="F3" s="9"/>
      <c r="G3" s="9"/>
      <c r="H3" s="9"/>
      <c r="I3" s="9"/>
      <c r="J3" s="9"/>
      <c r="K3" s="9"/>
      <c r="L3" s="9"/>
      <c r="M3" s="9"/>
      <c r="N3" s="9"/>
    </row>
    <row r="4" spans="2:14" ht="45.75">
      <c r="B4" s="46" t="s">
        <v>172</v>
      </c>
      <c r="C4" s="9"/>
      <c r="D4" s="9"/>
      <c r="E4" s="9"/>
      <c r="F4" s="9"/>
      <c r="G4" s="9"/>
      <c r="H4" s="9"/>
      <c r="I4" s="9"/>
      <c r="J4" s="9"/>
      <c r="K4" s="9"/>
      <c r="L4" s="9"/>
      <c r="M4" s="9"/>
      <c r="N4" s="9"/>
    </row>
    <row r="6" spans="2:14" ht="16.5" thickBot="1">
      <c r="B6" s="47" t="s">
        <v>173</v>
      </c>
    </row>
    <row r="7" spans="2:14" ht="45">
      <c r="B7" s="48" t="s">
        <v>205</v>
      </c>
      <c r="C7" s="10"/>
      <c r="D7" s="10"/>
      <c r="E7" s="10"/>
      <c r="F7" s="10"/>
      <c r="G7" s="10"/>
      <c r="H7" s="10"/>
      <c r="I7" s="10"/>
      <c r="J7" s="10"/>
      <c r="K7" s="10"/>
      <c r="L7" s="10"/>
      <c r="M7" s="10"/>
      <c r="N7" s="10"/>
    </row>
    <row r="8" spans="2:14" ht="15">
      <c r="B8" s="49" t="s">
        <v>174</v>
      </c>
    </row>
    <row r="9" spans="2:14" ht="15">
      <c r="B9" s="50"/>
    </row>
    <row r="10" spans="2:14" ht="14.25">
      <c r="B10" s="51" t="s">
        <v>175</v>
      </c>
    </row>
    <row r="11" spans="2:14" ht="14.25">
      <c r="B11" s="130" t="s">
        <v>226</v>
      </c>
    </row>
    <row r="12" spans="2:14" ht="14.25">
      <c r="B12" s="51"/>
    </row>
    <row r="13" spans="2:14" ht="14.25">
      <c r="B13" s="51" t="s">
        <v>176</v>
      </c>
    </row>
    <row r="14" spans="2:14" ht="15" thickBot="1">
      <c r="B14" s="52" t="s">
        <v>183</v>
      </c>
    </row>
    <row r="17" spans="2:2" ht="16.5" thickBot="1">
      <c r="B17" s="47" t="s">
        <v>177</v>
      </c>
    </row>
    <row r="18" spans="2:2">
      <c r="B18" s="53" t="s">
        <v>178</v>
      </c>
    </row>
    <row r="19" spans="2:2">
      <c r="B19" s="54" t="s">
        <v>179</v>
      </c>
    </row>
    <row r="20" spans="2:2">
      <c r="B20" s="55" t="s">
        <v>180</v>
      </c>
    </row>
    <row r="21" spans="2:2">
      <c r="B21" s="128" t="s">
        <v>224</v>
      </c>
    </row>
    <row r="22" spans="2:2">
      <c r="B22" s="129" t="s">
        <v>225</v>
      </c>
    </row>
    <row r="23" spans="2:2">
      <c r="B23" s="56" t="s">
        <v>199</v>
      </c>
    </row>
    <row r="24" spans="2:2" ht="13.5" thickBot="1">
      <c r="B24" s="57" t="s">
        <v>204</v>
      </c>
    </row>
    <row r="26" spans="2:2" ht="16.5" thickBot="1">
      <c r="B26" s="47" t="s">
        <v>181</v>
      </c>
    </row>
    <row r="27" spans="2:2">
      <c r="B27" s="41" t="s">
        <v>182</v>
      </c>
    </row>
    <row r="28" spans="2:2">
      <c r="B28" s="42" t="s">
        <v>211</v>
      </c>
    </row>
  </sheetData>
  <sheetProtection algorithmName="SHA-512" hashValue="P4UpsbZGiCPfbj2hekBo7H2SlZbERNEuyU0LThpNmmsB2rdU20q78DHXKnRvlzGdYqFa6mz2Zy+SQFwYKSa1eQ==" saltValue="iP5+4U014bQc6GsuD10rcg==" spinCount="100000" sheet="1" formatCells="0" formatColumns="0" formatRows="0" insertColumns="0" insertRows="0"/>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499984740745262"/>
  </sheetPr>
  <dimension ref="A1:R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5.42578125" style="22" bestFit="1" customWidth="1"/>
    <col min="4" max="4" width="15.7109375" style="22" bestFit="1" customWidth="1"/>
    <col min="5" max="6" width="16.42578125" style="22" bestFit="1" customWidth="1"/>
    <col min="7" max="7" width="17.42578125" style="22" bestFit="1" customWidth="1"/>
    <col min="8" max="8" width="15.42578125" style="22" bestFit="1" customWidth="1"/>
    <col min="9" max="9" width="15.7109375" style="22" bestFit="1" customWidth="1"/>
    <col min="10" max="11" width="16.42578125" style="22" bestFit="1" customWidth="1"/>
    <col min="12" max="12" width="17.42578125" style="22" bestFit="1" customWidth="1"/>
    <col min="13" max="13" width="15.42578125" style="22" bestFit="1" customWidth="1"/>
    <col min="14" max="14" width="15.7109375" style="22" bestFit="1" customWidth="1"/>
    <col min="15" max="16" width="16.42578125" style="22" bestFit="1" customWidth="1"/>
    <col min="17" max="17" width="17.42578125" style="22" bestFit="1" customWidth="1"/>
    <col min="18" max="18" width="13.5703125" bestFit="1" customWidth="1"/>
  </cols>
  <sheetData>
    <row r="1" spans="1:18" ht="13.5" thickBot="1">
      <c r="C1" s="142" t="s">
        <v>51</v>
      </c>
      <c r="D1" s="143"/>
      <c r="E1" s="143"/>
      <c r="F1" s="143"/>
      <c r="G1" s="144"/>
      <c r="H1" s="142" t="s">
        <v>100</v>
      </c>
      <c r="I1" s="143"/>
      <c r="J1" s="143"/>
      <c r="K1" s="143"/>
      <c r="L1" s="144"/>
      <c r="M1" s="142" t="s">
        <v>101</v>
      </c>
      <c r="N1" s="143"/>
      <c r="O1" s="143"/>
      <c r="P1" s="143"/>
      <c r="Q1" s="144"/>
      <c r="R1" s="60" t="s">
        <v>206</v>
      </c>
    </row>
    <row r="2" spans="1:18">
      <c r="A2" s="11" t="s">
        <v>0</v>
      </c>
      <c r="B2" s="11" t="s">
        <v>43</v>
      </c>
      <c r="C2" s="23" t="s">
        <v>116</v>
      </c>
      <c r="D2" s="24" t="s">
        <v>117</v>
      </c>
      <c r="E2" s="24" t="s">
        <v>118</v>
      </c>
      <c r="F2" s="24" t="s">
        <v>119</v>
      </c>
      <c r="G2" s="25" t="s">
        <v>120</v>
      </c>
      <c r="H2" s="23" t="s">
        <v>116</v>
      </c>
      <c r="I2" s="24" t="s">
        <v>117</v>
      </c>
      <c r="J2" s="24" t="s">
        <v>118</v>
      </c>
      <c r="K2" s="24" t="s">
        <v>119</v>
      </c>
      <c r="L2" s="25" t="s">
        <v>120</v>
      </c>
      <c r="M2" s="23" t="s">
        <v>116</v>
      </c>
      <c r="N2" s="24" t="s">
        <v>117</v>
      </c>
      <c r="O2" s="24" t="s">
        <v>118</v>
      </c>
      <c r="P2" s="24" t="s">
        <v>119</v>
      </c>
      <c r="Q2" s="25" t="s">
        <v>120</v>
      </c>
      <c r="R2" s="61" t="s">
        <v>99</v>
      </c>
    </row>
    <row r="3" spans="1:18" ht="13.5" thickBot="1">
      <c r="B3" s="26" t="s">
        <v>44</v>
      </c>
      <c r="C3" s="27" t="s">
        <v>113</v>
      </c>
      <c r="D3" s="28" t="s">
        <v>102</v>
      </c>
      <c r="E3" s="28" t="s">
        <v>113</v>
      </c>
      <c r="F3" s="28" t="s">
        <v>113</v>
      </c>
      <c r="G3" s="29" t="s">
        <v>113</v>
      </c>
      <c r="H3" s="27" t="s">
        <v>114</v>
      </c>
      <c r="I3" s="28" t="s">
        <v>115</v>
      </c>
      <c r="J3" s="28" t="s">
        <v>114</v>
      </c>
      <c r="K3" s="28" t="s">
        <v>114</v>
      </c>
      <c r="L3" s="29" t="s">
        <v>114</v>
      </c>
      <c r="M3" s="27" t="s">
        <v>200</v>
      </c>
      <c r="N3" s="28" t="s">
        <v>104</v>
      </c>
      <c r="O3" s="28" t="s">
        <v>200</v>
      </c>
      <c r="P3" s="28" t="s">
        <v>200</v>
      </c>
      <c r="Q3" s="29" t="s">
        <v>200</v>
      </c>
      <c r="R3" s="74" t="s">
        <v>207</v>
      </c>
    </row>
    <row r="4" spans="1:18">
      <c r="A4" s="82" t="s">
        <v>23</v>
      </c>
      <c r="B4" s="12" t="s">
        <v>50</v>
      </c>
      <c r="C4" s="2">
        <f>IFERROR((s_DL)/(Doses!I2*s_GSFb*s_Fin*s_Fi*s_Fam*s_Foff*Isospec!M3*s_ETiw*(1/24)*s_EFiw*(1/365)),".")</f>
        <v>16.616801267957438</v>
      </c>
      <c r="D4" s="3">
        <f>IFERROR((s_DL)/(Doses!L2*s_GSFb*s_Fin*s_Fi*s_Fam*s_Foff*Isospec!L3*s_ETiw*(1/24)*s_EFiw*(1/365)),".")</f>
        <v>5.2719305462904957</v>
      </c>
      <c r="E4" s="3">
        <f>IFERROR((s_DL)/(Doses!M2*s_GSFb*s_Fin*s_Fi*s_Fam*s_Foff*Isospec!N3*s_ETiw*(1/24)*s_EFiw*(1/365)),".")</f>
        <v>8.7629080586280299</v>
      </c>
      <c r="F4" s="3">
        <f>IFERROR((s_DL)/(Doses!N2*s_GSFb*s_Fin*s_Fi*s_Fam*s_Foff*Isospec!O3*s_ETiw*(1/24)*s_EFiw*(1/365)),".")</f>
        <v>8.3650245008028037</v>
      </c>
      <c r="G4" s="5">
        <f>IFERROR((s_DL)/(Doses!O2*s_GSFb*s_Fin*s_Fi*s_Fam*s_Foff*Isospec!P3*s_ETiw*(1/24)*s_EFiw*(1/365)),".")</f>
        <v>9.9040659912175801</v>
      </c>
      <c r="H4" s="2">
        <f t="shared" ref="H4:H5" si="0">IFERROR(C4/s_1_bq,".")</f>
        <v>0.61482164691442587</v>
      </c>
      <c r="I4" s="3">
        <f t="shared" ref="I4:I5" si="1">IFERROR(D4/s_1_bq,".")</f>
        <v>0.19506143021274855</v>
      </c>
      <c r="J4" s="3">
        <f t="shared" ref="J4:J5" si="2">IFERROR(E4/s_1_bq,".")</f>
        <v>0.32422759816923741</v>
      </c>
      <c r="K4" s="3">
        <f t="shared" ref="K4:K5" si="3">IFERROR(F4/s_1_bq,".")</f>
        <v>0.30950590652970406</v>
      </c>
      <c r="L4" s="5">
        <f t="shared" ref="L4:L5" si="4">IFERROR(G4/s_1_bq,".")</f>
        <v>0.36645044167505081</v>
      </c>
      <c r="M4" s="2">
        <f>IFERROR(C4*Isospec!C3*Isospec!F3*s_SSLgram,".")</f>
        <v>5.2342923994065922E-8</v>
      </c>
      <c r="N4" s="3">
        <f>IFERROR(D4*Isospec!C3*Isospec!F3*s_SSLcm_m,".")</f>
        <v>1.6606581220815062E-11</v>
      </c>
      <c r="O4" s="3">
        <f>IFERROR(E4*Isospec!C3*Isospec!F3*s_SSLgram,".")</f>
        <v>2.760316038467829E-8</v>
      </c>
      <c r="P4" s="3">
        <f>IFERROR(F4*Isospec!C3*Isospec!F3*s_SSLgram,".")</f>
        <v>2.6349827177528834E-8</v>
      </c>
      <c r="Q4" s="5">
        <f>IFERROR(G4*Isospec!C3*Isospec!F3*s_SSLgram,".")</f>
        <v>3.119780787233537E-8</v>
      </c>
      <c r="R4" s="62">
        <f>IF(D4&lt;&gt;".",D4*2.22*100,".")</f>
        <v>1170.36858127649</v>
      </c>
    </row>
    <row r="5" spans="1:18">
      <c r="A5" s="83" t="s">
        <v>14</v>
      </c>
      <c r="B5" s="12" t="s">
        <v>44</v>
      </c>
      <c r="C5" s="2">
        <f>IFERROR((s_DL)/(Doses!I3*s_GSFb*s_Fin*s_Fi*s_Fam*s_Foff*Isospec!M4*s_ETiw*(1/24)*s_EFiw*(1/365)),".")</f>
        <v>8.5008442566088025</v>
      </c>
      <c r="D5" s="3">
        <f>IFERROR((s_DL)/(Doses!L3*s_GSFb*s_Fin*s_Fi*s_Fam*s_Foff*Isospec!L4*s_ETiw*(1/24)*s_EFiw*(1/365)),".")</f>
        <v>3.7445713783656518</v>
      </c>
      <c r="E5" s="3">
        <f>IFERROR((s_DL)/(Doses!M3*s_GSFb*s_Fin*s_Fi*s_Fam*s_Foff*Isospec!N4*s_ETiw*(1/24)*s_EFiw*(1/365)),".")</f>
        <v>3.6355993222633889</v>
      </c>
      <c r="F5" s="3">
        <f>IFERROR((s_DL)/(Doses!N3*s_GSFb*s_Fin*s_Fi*s_Fam*s_Foff*Isospec!O4*s_ETiw*(1/24)*s_EFiw*(1/365)),".")</f>
        <v>4.0348818918838365</v>
      </c>
      <c r="G5" s="5">
        <f>IFERROR((s_DL)/(Doses!O3*s_GSFb*s_Fin*s_Fi*s_Fam*s_Foff*Isospec!P4*s_ETiw*(1/24)*s_EFiw*(1/365)),".")</f>
        <v>6.2899897094991069</v>
      </c>
      <c r="H5" s="2">
        <f t="shared" si="0"/>
        <v>0.31453123749452599</v>
      </c>
      <c r="I5" s="3">
        <f t="shared" si="1"/>
        <v>0.13854914099952925</v>
      </c>
      <c r="J5" s="3">
        <f t="shared" si="2"/>
        <v>0.13451717492374551</v>
      </c>
      <c r="K5" s="3">
        <f t="shared" si="3"/>
        <v>0.14929062999970211</v>
      </c>
      <c r="L5" s="5">
        <f t="shared" si="4"/>
        <v>0.23272961925146718</v>
      </c>
      <c r="M5" s="2">
        <f>IFERROR(C5*Isospec!C4*Isospec!F4*s_SSLgram,".")</f>
        <v>2.8681848521798093E-8</v>
      </c>
      <c r="N5" s="3">
        <f>IFERROR(D5*Isospec!C4*Isospec!F4*s_SSLcm_m,".")</f>
        <v>1.2634183830605708E-11</v>
      </c>
      <c r="O5" s="3">
        <f>IFERROR(E5*Isospec!C4*Isospec!F4*s_SSLgram,".")</f>
        <v>1.2266512113316673E-8</v>
      </c>
      <c r="P5" s="3">
        <f>IFERROR(F5*Isospec!C4*Isospec!F4*s_SSLgram,".")</f>
        <v>1.3613691503216061E-8</v>
      </c>
      <c r="Q5" s="5">
        <f>IFERROR(G5*Isospec!C4*Isospec!F4*s_SSLgram,".")</f>
        <v>2.1222425279849984E-8</v>
      </c>
      <c r="R5" s="62">
        <f t="shared" ref="R5" si="5">IF(D5&lt;&gt;".",D5*2.22*100,".")</f>
        <v>831.29484599717478</v>
      </c>
    </row>
    <row r="6" spans="1:18">
      <c r="A6" s="82" t="s">
        <v>15</v>
      </c>
      <c r="B6" s="12" t="s">
        <v>50</v>
      </c>
      <c r="C6" s="2">
        <f>IFERROR((s_DL)/(Doses!I4*s_GSFb*s_Fin*s_Fi*s_Fam*s_Foff*Isospec!M5*s_ETiw*(1/24)*s_EFiw*(1/365)),".")</f>
        <v>3138.5068307265383</v>
      </c>
      <c r="D6" s="3">
        <f>IFERROR((s_DL)/(Doses!L4*s_GSFb*s_Fin*s_Fi*s_Fam*s_Foff*Isospec!L5*s_ETiw*(1/24)*s_EFiw*(1/365)),".")</f>
        <v>2683.9074597879744</v>
      </c>
      <c r="E6" s="3">
        <f>IFERROR((s_DL)/(Doses!M4*s_GSFb*s_Fin*s_Fi*s_Fam*s_Foff*Isospec!N5*s_ETiw*(1/24)*s_EFiw*(1/365)),".")</f>
        <v>2538.77719819499</v>
      </c>
      <c r="F6" s="3">
        <f>IFERROR((s_DL)/(Doses!N4*s_GSFb*s_Fin*s_Fi*s_Fam*s_Foff*Isospec!O5*s_ETiw*(1/24)*s_EFiw*(1/365)),".")</f>
        <v>2661.2527579789758</v>
      </c>
      <c r="G6" s="5">
        <f>IFERROR((s_DL)/(Doses!O4*s_GSFb*s_Fin*s_Fi*s_Fam*s_Foff*Isospec!P5*s_ETiw*(1/24)*s_EFiw*(1/365)),".")</f>
        <v>2970.1463681724081</v>
      </c>
      <c r="H6" s="2">
        <f t="shared" ref="H6:H8" si="6">IFERROR(C6/s_1_bq,".")</f>
        <v>116.12475273688203</v>
      </c>
      <c r="I6" s="3">
        <f t="shared" ref="I6:I8" si="7">IFERROR(D6/s_1_bq,".")</f>
        <v>99.304576012155152</v>
      </c>
      <c r="J6" s="3">
        <f t="shared" ref="J6:J8" si="8">IFERROR(E6/s_1_bq,".")</f>
        <v>93.934756333214722</v>
      </c>
      <c r="K6" s="3">
        <f t="shared" ref="K6:K8" si="9">IFERROR(F6/s_1_bq,".")</f>
        <v>98.466352045222209</v>
      </c>
      <c r="L6" s="5">
        <f t="shared" ref="L6:L8" si="10">IFERROR(G6/s_1_bq,".")</f>
        <v>109.8954156223792</v>
      </c>
      <c r="M6" s="2">
        <f>IFERROR(C6*Isospec!C5*Isospec!F5*s_SSLgram,".")</f>
        <v>9.5347837517472234E-6</v>
      </c>
      <c r="N6" s="3">
        <f>IFERROR(D6*Isospec!C5*Isospec!F5*s_SSLcm_m,".")</f>
        <v>8.1537108628358655E-9</v>
      </c>
      <c r="O6" s="3">
        <f>IFERROR(E6*Isospec!C5*Isospec!F5*s_SSLgram,".")</f>
        <v>7.7128051281163798E-6</v>
      </c>
      <c r="P6" s="3">
        <f>IFERROR(F6*Isospec!C5*Isospec!F5*s_SSLgram,".")</f>
        <v>8.0848858787401265E-6</v>
      </c>
      <c r="Q6" s="5">
        <f>IFERROR(G6*Isospec!C5*Isospec!F5*s_SSLgram,".")</f>
        <v>9.0233046665077745E-6</v>
      </c>
      <c r="R6" s="62">
        <f t="shared" ref="R6:R8" si="11">IF(D6&lt;&gt;".",D6*2.22*100,".")</f>
        <v>595827.45607293036</v>
      </c>
    </row>
    <row r="7" spans="1:18">
      <c r="A7" s="82" t="s">
        <v>16</v>
      </c>
      <c r="B7" s="84" t="s">
        <v>50</v>
      </c>
      <c r="C7" s="2" t="str">
        <f>IFERROR((s_DL)/(Doses!I5*s_GSFb*s_Fin*s_Fi*s_Fam*s_Foff*Isospec!M6*s_ETiw*(1/24)*s_EFiw*(1/365)),".")</f>
        <v>.</v>
      </c>
      <c r="D7" s="3" t="str">
        <f>IFERROR((s_DL)/(Doses!L5*s_GSFb*s_Fin*s_Fi*s_Fam*s_Foff*Isospec!L6*s_ETiw*(1/24)*s_EFiw*(1/365)),".")</f>
        <v>.</v>
      </c>
      <c r="E7" s="3" t="str">
        <f>IFERROR((s_DL)/(Doses!M5*s_GSFb*s_Fin*s_Fi*s_Fam*s_Foff*Isospec!N6*s_ETiw*(1/24)*s_EFiw*(1/365)),".")</f>
        <v>.</v>
      </c>
      <c r="F7" s="3" t="str">
        <f>IFERROR((s_DL)/(Doses!N5*s_GSFb*s_Fin*s_Fi*s_Fam*s_Foff*Isospec!O6*s_ETiw*(1/24)*s_EFiw*(1/365)),".")</f>
        <v>.</v>
      </c>
      <c r="G7" s="5" t="str">
        <f>IFERROR((s_DL)/(Doses!O5*s_GSFb*s_Fin*s_Fi*s_Fam*s_Foff*Isospec!P6*s_ETiw*(1/24)*s_EFiw*(1/365)),".")</f>
        <v>.</v>
      </c>
      <c r="H7" s="2" t="str">
        <f t="shared" si="6"/>
        <v>.</v>
      </c>
      <c r="I7" s="3" t="str">
        <f t="shared" si="7"/>
        <v>.</v>
      </c>
      <c r="J7" s="3" t="str">
        <f t="shared" si="8"/>
        <v>.</v>
      </c>
      <c r="K7" s="3" t="str">
        <f t="shared" si="9"/>
        <v>.</v>
      </c>
      <c r="L7" s="5" t="str">
        <f t="shared" si="10"/>
        <v>.</v>
      </c>
      <c r="M7" s="2" t="str">
        <f>IFERROR(C7*Isospec!C6*Isospec!F6*s_SSLgram,".")</f>
        <v>.</v>
      </c>
      <c r="N7" s="3" t="str">
        <f>IFERROR(D7*Isospec!C6*Isospec!F6*s_SSLcm_m,".")</f>
        <v>.</v>
      </c>
      <c r="O7" s="3" t="str">
        <f>IFERROR(E7*Isospec!C6*Isospec!F6*s_SSLgram,".")</f>
        <v>.</v>
      </c>
      <c r="P7" s="3" t="str">
        <f>IFERROR(F7*Isospec!C6*Isospec!F6*s_SSLgram,".")</f>
        <v>.</v>
      </c>
      <c r="Q7" s="5" t="str">
        <f>IFERROR(G7*Isospec!C6*Isospec!F6*s_SSLgram,".")</f>
        <v>.</v>
      </c>
      <c r="R7" s="62" t="str">
        <f t="shared" si="11"/>
        <v>.</v>
      </c>
    </row>
    <row r="8" spans="1:18">
      <c r="A8" s="82" t="s">
        <v>18</v>
      </c>
      <c r="B8" s="12" t="s">
        <v>50</v>
      </c>
      <c r="C8" s="2">
        <f>IFERROR((s_DL)/(Doses!I6*s_GSFb*s_Fin*s_Fi*s_Fam*s_Foff*Isospec!M7*s_ETiw*(1/24)*s_EFiw*(1/365)),".")</f>
        <v>3.1628233081473507</v>
      </c>
      <c r="D8" s="3">
        <f>IFERROR((s_DL)/(Doses!L6*s_GSFb*s_Fin*s_Fi*s_Fam*s_Foff*Isospec!L7*s_ETiw*(1/24)*s_EFiw*(1/365)),".")</f>
        <v>4.3183363807674571</v>
      </c>
      <c r="E8" s="3">
        <f>IFERROR((s_DL)/(Doses!M6*s_GSFb*s_Fin*s_Fi*s_Fam*s_Foff*Isospec!N7*s_ETiw*(1/24)*s_EFiw*(1/365)),".")</f>
        <v>3.2909347916756282</v>
      </c>
      <c r="F8" s="3">
        <f>IFERROR((s_DL)/(Doses!N6*s_GSFb*s_Fin*s_Fi*s_Fam*s_Foff*Isospec!O7*s_ETiw*(1/24)*s_EFiw*(1/365)),".")</f>
        <v>3.052179541451701</v>
      </c>
      <c r="G8" s="5">
        <f>IFERROR((s_DL)/(Doses!O6*s_GSFb*s_Fin*s_Fi*s_Fam*s_Foff*Isospec!P7*s_ETiw*(1/24)*s_EFiw*(1/365)),".")</f>
        <v>3.8330842519445079</v>
      </c>
      <c r="H8" s="2">
        <f t="shared" si="6"/>
        <v>0.11702446240145209</v>
      </c>
      <c r="I8" s="3">
        <f t="shared" si="7"/>
        <v>0.15977844608839609</v>
      </c>
      <c r="J8" s="3">
        <f t="shared" si="8"/>
        <v>0.12176458729199836</v>
      </c>
      <c r="K8" s="3">
        <f t="shared" si="9"/>
        <v>0.11293064303371306</v>
      </c>
      <c r="L8" s="5">
        <f t="shared" si="10"/>
        <v>0.14182411732194694</v>
      </c>
      <c r="M8" s="2">
        <f>IFERROR(C8*Isospec!C7*Isospec!F7*s_SSLgram,".")</f>
        <v>6.0662951050266187E-9</v>
      </c>
      <c r="N8" s="3">
        <f>IFERROR(D8*Isospec!C7*Isospec!F7*s_SSLcm_m,".")</f>
        <v>8.2825691783119813E-12</v>
      </c>
      <c r="O8" s="3">
        <f>IFERROR(E8*Isospec!C7*Isospec!F7*s_SSLgram,".")</f>
        <v>6.3120129304338546E-9</v>
      </c>
      <c r="P8" s="3">
        <f>IFERROR(F8*Isospec!C7*Isospec!F7*s_SSLgram,".")</f>
        <v>5.8540803605043623E-9</v>
      </c>
      <c r="Q8" s="5">
        <f>IFERROR(G8*Isospec!C7*Isospec!F7*s_SSLgram,".")</f>
        <v>7.3518555952295648E-9</v>
      </c>
      <c r="R8" s="62">
        <f t="shared" si="11"/>
        <v>958.67067653037554</v>
      </c>
    </row>
    <row r="9" spans="1:18">
      <c r="A9" s="82" t="s">
        <v>19</v>
      </c>
      <c r="B9" s="85" t="s">
        <v>50</v>
      </c>
      <c r="C9" s="2">
        <f>IFERROR((s_DL)/(Doses!I7*s_GSFb*s_Fin*s_Fi*s_Fam*s_Foff*Isospec!M8*s_ETiw*(1/24)*s_EFiw*(1/365)),".")</f>
        <v>2550031.2816509944</v>
      </c>
      <c r="D9" s="3">
        <f>IFERROR((s_DL)/(Doses!L7*s_GSFb*s_Fin*s_Fi*s_Fam*s_Foff*Isospec!L8*s_ETiw*(1/24)*s_EFiw*(1/365)),".")</f>
        <v>2512332.3204800002</v>
      </c>
      <c r="E9" s="3">
        <f>IFERROR((s_DL)/(Doses!M7*s_GSFb*s_Fin*s_Fi*s_Fam*s_Foff*Isospec!N8*s_ETiw*(1/24)*s_EFiw*(1/365)),".")</f>
        <v>2159181.0792490621</v>
      </c>
      <c r="F9" s="3">
        <f>IFERROR((s_DL)/(Doses!N7*s_GSFb*s_Fin*s_Fi*s_Fam*s_Foff*Isospec!O8*s_ETiw*(1/24)*s_EFiw*(1/365)),".")</f>
        <v>2158126.1921277572</v>
      </c>
      <c r="G9" s="5">
        <f>IFERROR((s_DL)/(Doses!O7*s_GSFb*s_Fin*s_Fi*s_Fam*s_Foff*Isospec!P8*s_ETiw*(1/24)*s_EFiw*(1/365)),".")</f>
        <v>2547078.9422842553</v>
      </c>
      <c r="H9" s="2">
        <f t="shared" ref="H9:H11" si="12">IFERROR(C9/s_1_bq,".")</f>
        <v>94351.157421086886</v>
      </c>
      <c r="I9" s="3">
        <f t="shared" ref="I9:I11" si="13">IFERROR(D9/s_1_bq,".")</f>
        <v>92956.295857760109</v>
      </c>
      <c r="J9" s="3">
        <f t="shared" ref="J9:J11" si="14">IFERROR(E9/s_1_bq,".")</f>
        <v>79889.699932215386</v>
      </c>
      <c r="K9" s="3">
        <f t="shared" ref="K9:K11" si="15">IFERROR(F9/s_1_bq,".")</f>
        <v>79850.669108727103</v>
      </c>
      <c r="L9" s="5">
        <f t="shared" ref="L9:L11" si="16">IFERROR(G9/s_1_bq,".")</f>
        <v>94241.920864517539</v>
      </c>
      <c r="M9" s="2">
        <f>IFERROR(C9*Isospec!C8*Isospec!F8*s_SSLgram,".")</f>
        <v>7.4970919680539226E-3</v>
      </c>
      <c r="N9" s="3">
        <f>IFERROR(D9*Isospec!C8*Isospec!F8*s_SSLcm_m,".")</f>
        <v>7.386257022211201E-6</v>
      </c>
      <c r="O9" s="3">
        <f>IFERROR(E9*Isospec!C8*Isospec!F8*s_SSLgram,".")</f>
        <v>6.3479923729922415E-3</v>
      </c>
      <c r="P9" s="3">
        <f>IFERROR(F9*Isospec!C8*Isospec!F8*s_SSLgram,".")</f>
        <v>6.3448910048556056E-3</v>
      </c>
      <c r="Q9" s="5">
        <f>IFERROR(G9*Isospec!C8*Isospec!F8*s_SSLgram,".")</f>
        <v>7.4884120903157096E-3</v>
      </c>
      <c r="R9" s="62">
        <f t="shared" ref="R9:R11" si="17">IF(D9&lt;&gt;".",D9*2.22*100,".")</f>
        <v>557737775.14656007</v>
      </c>
    </row>
    <row r="10" spans="1:18">
      <c r="A10" s="82" t="s">
        <v>20</v>
      </c>
      <c r="B10" s="12" t="s">
        <v>50</v>
      </c>
      <c r="C10" s="2">
        <f>IFERROR((s_DL)/(Doses!I8*s_GSFb*s_Fin*s_Fi*s_Fam*s_Foff*Isospec!M9*s_ETiw*(1/24)*s_EFiw*(1/365)),".")</f>
        <v>9.6134373722867341</v>
      </c>
      <c r="D10" s="3">
        <f>IFERROR((s_DL)/(Doses!L8*s_GSFb*s_Fin*s_Fi*s_Fam*s_Foff*Isospec!L9*s_ETiw*(1/24)*s_EFiw*(1/365)),".")</f>
        <v>11.031268143315119</v>
      </c>
      <c r="E10" s="3">
        <f>IFERROR((s_DL)/(Doses!M8*s_GSFb*s_Fin*s_Fi*s_Fam*s_Foff*Isospec!N9*s_ETiw*(1/24)*s_EFiw*(1/365)),".")</f>
        <v>9.3612843148351352</v>
      </c>
      <c r="F10" s="3">
        <f>IFERROR((s_DL)/(Doses!N8*s_GSFb*s_Fin*s_Fi*s_Fam*s_Foff*Isospec!O9*s_ETiw*(1/24)*s_EFiw*(1/365)),".")</f>
        <v>8.6528602514459241</v>
      </c>
      <c r="G10" s="5">
        <f>IFERROR((s_DL)/(Doses!O8*s_GSFb*s_Fin*s_Fi*s_Fam*s_Foff*Isospec!P9*s_ETiw*(1/24)*s_EFiw*(1/365)),".")</f>
        <v>9.9420804524449053</v>
      </c>
      <c r="H10" s="2">
        <f t="shared" si="12"/>
        <v>0.35569718277460954</v>
      </c>
      <c r="I10" s="3">
        <f t="shared" si="13"/>
        <v>0.40815692130265979</v>
      </c>
      <c r="J10" s="3">
        <f t="shared" si="14"/>
        <v>0.34636751964890033</v>
      </c>
      <c r="K10" s="3">
        <f t="shared" si="15"/>
        <v>0.32015582930349951</v>
      </c>
      <c r="L10" s="5">
        <f t="shared" si="16"/>
        <v>0.36785697674046186</v>
      </c>
      <c r="M10" s="2">
        <f>IFERROR(C10*Isospec!C9*Isospec!F9*s_SSLgram,".")</f>
        <v>2.8667270244159038E-8</v>
      </c>
      <c r="N10" s="3">
        <f>IFERROR(D10*Isospec!C9*Isospec!F9*s_SSLcm_m,".")</f>
        <v>3.2895241603365685E-11</v>
      </c>
      <c r="O10" s="3">
        <f>IFERROR(E10*Isospec!C9*Isospec!F9*s_SSLgram,".")</f>
        <v>2.7915349826838369E-8</v>
      </c>
      <c r="P10" s="3">
        <f>IFERROR(F10*Isospec!C9*Isospec!F9*s_SSLgram,".")</f>
        <v>2.5802829269811745E-8</v>
      </c>
      <c r="Q10" s="5">
        <f>IFERROR(G10*Isospec!C9*Isospec!F9*s_SSLgram,".")</f>
        <v>2.9647283909190708E-8</v>
      </c>
      <c r="R10" s="62">
        <f t="shared" si="17"/>
        <v>2448.9415278159568</v>
      </c>
    </row>
    <row r="11" spans="1:18">
      <c r="A11" s="82" t="s">
        <v>21</v>
      </c>
      <c r="B11" s="85" t="s">
        <v>50</v>
      </c>
      <c r="C11" s="2">
        <f>IFERROR((s_DL)/(Doses!I9*s_GSFb*s_Fin*s_Fi*s_Fam*s_Foff*Isospec!M10*s_ETiw*(1/24)*s_EFiw*(1/365)),".")</f>
        <v>2.1674039395410158</v>
      </c>
      <c r="D11" s="3">
        <f>IFERROR((s_DL)/(Doses!L9*s_GSFb*s_Fin*s_Fi*s_Fam*s_Foff*Isospec!L10*s_ETiw*(1/24)*s_EFiw*(1/365)),".")</f>
        <v>3.1606621299062754</v>
      </c>
      <c r="E11" s="3">
        <f>IFERROR((s_DL)/(Doses!M9*s_GSFb*s_Fin*s_Fi*s_Fam*s_Foff*Isospec!N10*s_ETiw*(1/24)*s_EFiw*(1/365)),".")</f>
        <v>2.3868527300901037</v>
      </c>
      <c r="F11" s="3">
        <f>IFERROR((s_DL)/(Doses!N9*s_GSFb*s_Fin*s_Fi*s_Fam*s_Foff*Isospec!O10*s_ETiw*(1/24)*s_EFiw*(1/365)),".")</f>
        <v>2.2971839942172672</v>
      </c>
      <c r="G11" s="5">
        <f>IFERROR((s_DL)/(Doses!O9*s_GSFb*s_Fin*s_Fi*s_Fam*s_Foff*Isospec!P10*s_ETiw*(1/24)*s_EFiw*(1/365)),".")</f>
        <v>2.7433529578472964</v>
      </c>
      <c r="H11" s="2">
        <f t="shared" si="12"/>
        <v>8.0193945763017666E-2</v>
      </c>
      <c r="I11" s="3">
        <f t="shared" si="13"/>
        <v>0.11694449880653231</v>
      </c>
      <c r="J11" s="3">
        <f t="shared" si="14"/>
        <v>8.8313551013333921E-2</v>
      </c>
      <c r="K11" s="3">
        <f t="shared" si="15"/>
        <v>8.4995807786038977E-2</v>
      </c>
      <c r="L11" s="5">
        <f t="shared" si="16"/>
        <v>0.10150405944035007</v>
      </c>
      <c r="M11" s="2">
        <f>IFERROR(C11*Isospec!C10*Isospec!F10*s_SSLgram,".")</f>
        <v>6.4935422028648827E-9</v>
      </c>
      <c r="N11" s="3">
        <f>IFERROR(D11*Isospec!C10*Isospec!F10*s_SSLcm_m,".")</f>
        <v>9.469343741199202E-12</v>
      </c>
      <c r="O11" s="3">
        <f>IFERROR(E11*Isospec!C10*Isospec!F10*s_SSLgram,".")</f>
        <v>7.1510107793499496E-9</v>
      </c>
      <c r="P11" s="3">
        <f>IFERROR(F11*Isospec!C10*Isospec!F10*s_SSLgram,".")</f>
        <v>6.8823632466749325E-9</v>
      </c>
      <c r="Q11" s="5">
        <f>IFERROR(G11*Isospec!C10*Isospec!F10*s_SSLgram,".")</f>
        <v>8.2190854617104991E-9</v>
      </c>
      <c r="R11" s="62">
        <f t="shared" si="17"/>
        <v>701.6669928391932</v>
      </c>
    </row>
    <row r="12" spans="1:18">
      <c r="A12" s="83" t="s">
        <v>17</v>
      </c>
      <c r="B12" s="12" t="s">
        <v>44</v>
      </c>
      <c r="C12" s="2">
        <f>IFERROR((s_DL)/(Doses!I10*s_GSFb*s_Fin*s_Fi*s_Fam*s_Foff*Isospec!M11*s_ETiw*(1/24)*s_EFiw*(1/365)),".")</f>
        <v>508109.06145558867</v>
      </c>
      <c r="D12" s="3">
        <f>IFERROR((s_DL)/(Doses!L10*s_GSFb*s_Fin*s_Fi*s_Fam*s_Foff*Isospec!L11*s_ETiw*(1/24)*s_EFiw*(1/365)),".")</f>
        <v>3.5387341840729549</v>
      </c>
      <c r="E12" s="3">
        <f>IFERROR((s_DL)/(Doses!M10*s_GSFb*s_Fin*s_Fi*s_Fam*s_Foff*Isospec!N11*s_ETiw*(1/24)*s_EFiw*(1/365)),".")</f>
        <v>2.8052469069794768</v>
      </c>
      <c r="F12" s="3">
        <f>IFERROR((s_DL)/(Doses!N10*s_GSFb*s_Fin*s_Fi*s_Fam*s_Foff*Isospec!O11*s_ETiw*(1/24)*s_EFiw*(1/365)),".")</f>
        <v>2.9365475386764426</v>
      </c>
      <c r="G12" s="5">
        <f>IFERROR((s_DL)/(Doses!O10*s_GSFb*s_Fin*s_Fi*s_Fam*s_Foff*Isospec!P11*s_ETiw*(1/24)*s_EFiw*(1/365)),".")</f>
        <v>2.1564607014370925</v>
      </c>
      <c r="H12" s="2">
        <f t="shared" ref="H12" si="18">IFERROR(C12/s_1_bq,".")</f>
        <v>18800.0352738568</v>
      </c>
      <c r="I12" s="3">
        <f t="shared" ref="I12" si="19">IFERROR(D12/s_1_bq,".")</f>
        <v>0.13093316481069947</v>
      </c>
      <c r="J12" s="3">
        <f t="shared" ref="J12" si="20">IFERROR(E12/s_1_bq,".")</f>
        <v>0.10379413555824074</v>
      </c>
      <c r="K12" s="3">
        <f t="shared" ref="K12" si="21">IFERROR(F12/s_1_bq,".")</f>
        <v>0.10865225893102849</v>
      </c>
      <c r="L12" s="5">
        <f t="shared" ref="L12" si="22">IFERROR(G12/s_1_bq,".")</f>
        <v>7.9789045953172502E-2</v>
      </c>
      <c r="M12" s="2">
        <f>IFERROR(C12*Isospec!C11*Isospec!F11*s_SSLgram,".")</f>
        <v>9.7455317987181901E-4</v>
      </c>
      <c r="N12" s="3">
        <f>IFERROR(D12*Isospec!C11*Isospec!F11*s_SSLcm_m,".")</f>
        <v>6.7872921650519276E-12</v>
      </c>
      <c r="O12" s="3">
        <f>IFERROR(E12*Isospec!C11*Isospec!F11*s_SSLgram,".")</f>
        <v>5.3804635675866363E-9</v>
      </c>
      <c r="P12" s="3">
        <f>IFERROR(F12*Isospec!C11*Isospec!F11*s_SSLgram,".")</f>
        <v>5.6322981791814169E-9</v>
      </c>
      <c r="Q12" s="5">
        <f>IFERROR(G12*Isospec!C11*Isospec!F11*s_SSLgram,".")</f>
        <v>4.1360916253563432E-9</v>
      </c>
      <c r="R12" s="62">
        <f t="shared" ref="R12" si="23">IF(D12&lt;&gt;".",D12*2.22*100,".")</f>
        <v>785.59898886419614</v>
      </c>
    </row>
    <row r="13" spans="1:18">
      <c r="A13" s="82" t="s">
        <v>24</v>
      </c>
      <c r="B13" s="12" t="s">
        <v>50</v>
      </c>
      <c r="C13" s="2">
        <f>IFERROR((s_DL)/(Doses!I11*s_GSFb*s_Fin*s_Fi*s_Fam*s_Foff*Isospec!M12*s_ETiw*(1/24)*s_EFiw*(1/365)),".")</f>
        <v>22.108469774340534</v>
      </c>
      <c r="D13" s="3">
        <f>IFERROR((s_DL)/(Doses!L11*s_GSFb*s_Fin*s_Fi*s_Fam*s_Foff*Isospec!L12*s_ETiw*(1/24)*s_EFiw*(1/365)),".")</f>
        <v>16.940267291331768</v>
      </c>
      <c r="E13" s="3">
        <f>IFERROR((s_DL)/(Doses!M11*s_GSFb*s_Fin*s_Fi*s_Fam*s_Foff*Isospec!N12*s_ETiw*(1/24)*s_EFiw*(1/365)),".")</f>
        <v>15.516220183024295</v>
      </c>
      <c r="F13" s="3">
        <f>IFERROR((s_DL)/(Doses!N11*s_GSFb*s_Fin*s_Fi*s_Fam*s_Foff*Isospec!O12*s_ETiw*(1/24)*s_EFiw*(1/365)),".")</f>
        <v>16.676009893437307</v>
      </c>
      <c r="G13" s="5">
        <f>IFERROR((s_DL)/(Doses!O11*s_GSFb*s_Fin*s_Fi*s_Fam*s_Foff*Isospec!P12*s_ETiw*(1/24)*s_EFiw*(1/365)),".")</f>
        <v>20.326597659980525</v>
      </c>
      <c r="H13" s="2">
        <f t="shared" ref="H13" si="24">IFERROR(C13/s_1_bq,".")</f>
        <v>0.81801338165060056</v>
      </c>
      <c r="I13" s="3">
        <f t="shared" ref="I13" si="25">IFERROR(D13/s_1_bq,".")</f>
        <v>0.62678988977927608</v>
      </c>
      <c r="J13" s="3">
        <f t="shared" ref="J13" si="26">IFERROR(E13/s_1_bq,".")</f>
        <v>0.57410014677189947</v>
      </c>
      <c r="K13" s="3">
        <f t="shared" ref="K13" si="27">IFERROR(F13/s_1_bq,".")</f>
        <v>0.61701236605718102</v>
      </c>
      <c r="L13" s="5">
        <f t="shared" ref="L13" si="28">IFERROR(G13/s_1_bq,".")</f>
        <v>0.75208411341928016</v>
      </c>
      <c r="M13" s="2">
        <f>IFERROR(C13*Isospec!C12*Isospec!F12*s_SSLgram,".")</f>
        <v>6.8403605481809617E-8</v>
      </c>
      <c r="N13" s="3">
        <f>IFERROR(D13*Isospec!C12*Isospec!F12*s_SSLcm_m,".")</f>
        <v>5.2413186999380488E-11</v>
      </c>
      <c r="O13" s="3">
        <f>IFERROR(E13*Isospec!C12*Isospec!F12*s_SSLgram,".")</f>
        <v>4.8007185246277169E-8</v>
      </c>
      <c r="P13" s="3">
        <f>IFERROR(F13*Isospec!C12*Isospec!F12*s_SSLgram,".")</f>
        <v>5.1595574610295025E-8</v>
      </c>
      <c r="Q13" s="5">
        <f>IFERROR(G13*Isospec!C12*Isospec!F12*s_SSLgram,".")</f>
        <v>6.2890493159979739E-8</v>
      </c>
      <c r="R13" s="62">
        <f t="shared" ref="R13" si="29">IF(D13&lt;&gt;".",D13*2.22*100,".")</f>
        <v>3760.7393386756526</v>
      </c>
    </row>
    <row r="14" spans="1:18">
      <c r="A14" s="82" t="s">
        <v>22</v>
      </c>
      <c r="B14" s="84" t="s">
        <v>50</v>
      </c>
      <c r="C14" s="2">
        <f>IFERROR((s_DL)/(Doses!I12*s_GSFb*s_Fin*s_Fi*s_Fam*s_Foff*Isospec!M13*s_ETiw*(1/24)*s_EFiw*(1/365)),".")</f>
        <v>7.3846618796480472</v>
      </c>
      <c r="D14" s="3">
        <f>IFERROR((s_DL)/(Doses!L12*s_GSFb*s_Fin*s_Fi*s_Fam*s_Foff*Isospec!L13*s_ETiw*(1/24)*s_EFiw*(1/365)),".")</f>
        <v>6.8523094019561199</v>
      </c>
      <c r="E14" s="3">
        <f>IFERROR((s_DL)/(Doses!M12*s_GSFb*s_Fin*s_Fi*s_Fam*s_Foff*Isospec!N13*s_ETiw*(1/24)*s_EFiw*(1/365)),".")</f>
        <v>6.0247894084840681</v>
      </c>
      <c r="F14" s="3">
        <f>IFERROR((s_DL)/(Doses!N12*s_GSFb*s_Fin*s_Fi*s_Fam*s_Foff*Isospec!O13*s_ETiw*(1/24)*s_EFiw*(1/365)),".")</f>
        <v>6.0885470350280988</v>
      </c>
      <c r="G14" s="5">
        <f>IFERROR((s_DL)/(Doses!O12*s_GSFb*s_Fin*s_Fi*s_Fam*s_Foff*Isospec!P13*s_ETiw*(1/24)*s_EFiw*(1/365)),".")</f>
        <v>7.2118584772165555</v>
      </c>
      <c r="H14" s="2">
        <f t="shared" ref="H14" si="30">IFERROR(C14/s_1_bq,".")</f>
        <v>0.27323248954697804</v>
      </c>
      <c r="I14" s="3">
        <f t="shared" ref="I14" si="31">IFERROR(D14/s_1_bq,".")</f>
        <v>0.2535354478723767</v>
      </c>
      <c r="J14" s="3">
        <f t="shared" ref="J14" si="32">IFERROR(E14/s_1_bq,".")</f>
        <v>0.22291720811391075</v>
      </c>
      <c r="K14" s="3">
        <f t="shared" ref="K14" si="33">IFERROR(F14/s_1_bq,".")</f>
        <v>0.22527624029603988</v>
      </c>
      <c r="L14" s="5">
        <f t="shared" ref="L14" si="34">IFERROR(G14/s_1_bq,".")</f>
        <v>0.26683876365701281</v>
      </c>
      <c r="M14" s="2">
        <f>IFERROR(C14*Isospec!C13*Isospec!F13*s_SSLgram,".")</f>
        <v>2.1297364860904967E-8</v>
      </c>
      <c r="N14" s="3">
        <f>IFERROR(D14*Isospec!C13*Isospec!F13*s_SSLcm_m,".")</f>
        <v>1.9762060315241451E-11</v>
      </c>
      <c r="O14" s="3">
        <f>IFERROR(E14*Isospec!C13*Isospec!F13*s_SSLgram,".")</f>
        <v>1.7375492654068052E-8</v>
      </c>
      <c r="P14" s="3">
        <f>IFERROR(F14*Isospec!C13*Isospec!F13*s_SSLgram,".")</f>
        <v>1.7559369649021037E-8</v>
      </c>
      <c r="Q14" s="5">
        <f>IFERROR(G14*Isospec!C13*Isospec!F13*s_SSLgram,".")</f>
        <v>2.0798999848292541E-8</v>
      </c>
      <c r="R14" s="62">
        <f t="shared" ref="R14" si="35">IF(D14&lt;&gt;".",D14*2.22*100,".")</f>
        <v>1521.2126872342587</v>
      </c>
    </row>
    <row r="15" spans="1:18">
      <c r="A15" s="82" t="s">
        <v>28</v>
      </c>
      <c r="B15" s="12" t="s">
        <v>50</v>
      </c>
      <c r="C15" s="2">
        <f>IFERROR((s_DL)/(Doses!I13*s_GSFb*s_Fin*s_Fi*s_Fam*s_Foff*Isospec!M14*s_ETiw*(1/24)*s_EFiw*(1/365)),".")</f>
        <v>6.6718715261961634</v>
      </c>
      <c r="D15" s="3">
        <f>IFERROR((s_DL)/(Doses!L13*s_GSFb*s_Fin*s_Fi*s_Fam*s_Foff*Isospec!L14*s_ETiw*(1/24)*s_EFiw*(1/365)),".")</f>
        <v>1.9815083675313372</v>
      </c>
      <c r="E15" s="3">
        <f>IFERROR((s_DL)/(Doses!M13*s_GSFb*s_Fin*s_Fi*s_Fam*s_Foff*Isospec!N14*s_ETiw*(1/24)*s_EFiw*(1/365)),".")</f>
        <v>3.3923498818520801</v>
      </c>
      <c r="F15" s="3">
        <f>IFERROR((s_DL)/(Doses!N13*s_GSFb*s_Fin*s_Fi*s_Fam*s_Foff*Isospec!O14*s_ETiw*(1/24)*s_EFiw*(1/365)),".")</f>
        <v>2.9959020639678378</v>
      </c>
      <c r="G15" s="5">
        <f>IFERROR((s_DL)/(Doses!O13*s_GSFb*s_Fin*s_Fi*s_Fam*s_Foff*Isospec!P14*s_ETiw*(1/24)*s_EFiw*(1/365)),".")</f>
        <v>3.5323691159283297</v>
      </c>
      <c r="H15" s="2">
        <f t="shared" ref="H15:H16" si="36">IFERROR(C15/s_1_bq,".")</f>
        <v>0.2468592464692583</v>
      </c>
      <c r="I15" s="3">
        <f t="shared" ref="I15:I16" si="37">IFERROR(D15/s_1_bq,".")</f>
        <v>7.3315809598659548E-2</v>
      </c>
      <c r="J15" s="3">
        <f t="shared" ref="J15:J16" si="38">IFERROR(E15/s_1_bq,".")</f>
        <v>0.12551694562852708</v>
      </c>
      <c r="K15" s="3">
        <f t="shared" ref="K15:K16" si="39">IFERROR(F15/s_1_bq,".")</f>
        <v>0.11084837636681011</v>
      </c>
      <c r="L15" s="5">
        <f t="shared" ref="L15:L16" si="40">IFERROR(G15/s_1_bq,".")</f>
        <v>0.13069765728934832</v>
      </c>
      <c r="M15" s="2">
        <f>IFERROR(C15*Isospec!C14*Isospec!F14*s_SSLgram,".")</f>
        <v>2.213726972391887E-8</v>
      </c>
      <c r="N15" s="3">
        <f>IFERROR(D15*Isospec!C14*Isospec!F14*s_SSLcm_m,".")</f>
        <v>6.5746447634689761E-12</v>
      </c>
      <c r="O15" s="3">
        <f>IFERROR(E15*Isospec!C14*Isospec!F14*s_SSLgram,".")</f>
        <v>1.1255816907985201E-8</v>
      </c>
      <c r="P15" s="3">
        <f>IFERROR(F15*Isospec!C14*Isospec!F14*s_SSLgram,".")</f>
        <v>9.9404030482452838E-9</v>
      </c>
      <c r="Q15" s="5">
        <f>IFERROR(G15*Isospec!C14*Isospec!F14*s_SSLgram,".")</f>
        <v>1.1720400726650196E-8</v>
      </c>
      <c r="R15" s="62">
        <f t="shared" ref="R15:R16" si="41">IF(D15&lt;&gt;".",D15*2.22*100,".")</f>
        <v>439.89485759195691</v>
      </c>
    </row>
    <row r="16" spans="1:18">
      <c r="A16" s="82" t="s">
        <v>29</v>
      </c>
      <c r="B16" s="12" t="s">
        <v>50</v>
      </c>
      <c r="C16" s="2">
        <f>IFERROR((s_DL)/(Doses!I14*s_GSFb*s_Fin*s_Fi*s_Fam*s_Foff*Isospec!M15*s_ETiw*(1/24)*s_EFiw*(1/365)),".")</f>
        <v>2.8289824613776413</v>
      </c>
      <c r="D16" s="3">
        <f>IFERROR((s_DL)/(Doses!L14*s_GSFb*s_Fin*s_Fi*s_Fam*s_Foff*Isospec!L15*s_ETiw*(1/24)*s_EFiw*(1/365)),".")</f>
        <v>1.551213611615522</v>
      </c>
      <c r="E16" s="3">
        <f>IFERROR((s_DL)/(Doses!M14*s_GSFb*s_Fin*s_Fi*s_Fam*s_Foff*Isospec!N15*s_ETiw*(1/24)*s_EFiw*(1/365)),".")</f>
        <v>1.9078142716526487</v>
      </c>
      <c r="F16" s="3">
        <f>IFERROR((s_DL)/(Doses!N14*s_GSFb*s_Fin*s_Fi*s_Fam*s_Foff*Isospec!O15*s_ETiw*(1/24)*s_EFiw*(1/365)),".")</f>
        <v>1.765015031402499</v>
      </c>
      <c r="G16" s="5">
        <f>IFERROR((s_DL)/(Doses!O14*s_GSFb*s_Fin*s_Fi*s_Fam*s_Foff*Isospec!P15*s_ETiw*(1/24)*s_EFiw*(1/365)),".")</f>
        <v>2.2205747204176562</v>
      </c>
      <c r="H16" s="2">
        <f t="shared" si="36"/>
        <v>0.10467235107097284</v>
      </c>
      <c r="I16" s="3">
        <f t="shared" si="37"/>
        <v>5.7394903629774369E-2</v>
      </c>
      <c r="J16" s="3">
        <f t="shared" si="38"/>
        <v>7.0589128051148073E-2</v>
      </c>
      <c r="K16" s="3">
        <f t="shared" si="39"/>
        <v>6.5305556161892528E-2</v>
      </c>
      <c r="L16" s="5">
        <f t="shared" si="40"/>
        <v>8.216126465545337E-2</v>
      </c>
      <c r="M16" s="2">
        <f>IFERROR(C16*Isospec!C15*Isospec!F15*s_SSLgram,".")</f>
        <v>9.2281407890138654E-9</v>
      </c>
      <c r="N16" s="3">
        <f>IFERROR(D16*Isospec!C15*Isospec!F15*s_SSLcm_m,".")</f>
        <v>5.0600588010898329E-12</v>
      </c>
      <c r="O16" s="3">
        <f>IFERROR(E16*Isospec!C15*Isospec!F15*s_SSLgram,".")</f>
        <v>6.2232901541309395E-9</v>
      </c>
      <c r="P16" s="3">
        <f>IFERROR(F16*Isospec!C15*Isospec!F15*s_SSLgram,".")</f>
        <v>5.7574790324349516E-9</v>
      </c>
      <c r="Q16" s="5">
        <f>IFERROR(G16*Isospec!C15*Isospec!F15*s_SSLgram,".")</f>
        <v>7.2435147380023939E-9</v>
      </c>
      <c r="R16" s="62">
        <f t="shared" si="41"/>
        <v>344.36942177864591</v>
      </c>
    </row>
    <row r="17" spans="1:18">
      <c r="A17" s="82" t="s">
        <v>32</v>
      </c>
      <c r="B17" s="12" t="s">
        <v>50</v>
      </c>
      <c r="C17" s="2" t="str">
        <f>IFERROR((s_DL)/(Doses!I15*s_GSFb*s_Fin*s_Fi*s_Fam*s_Foff*Isospec!M16*s_ETiw*(1/24)*s_EFiw*(1/365)),".")</f>
        <v>.</v>
      </c>
      <c r="D17" s="3" t="str">
        <f>IFERROR((s_DL)/(Doses!L15*s_GSFb*s_Fin*s_Fi*s_Fam*s_Foff*Isospec!L16*s_ETiw*(1/24)*s_EFiw*(1/365)),".")</f>
        <v>.</v>
      </c>
      <c r="E17" s="3" t="str">
        <f>IFERROR((s_DL)/(Doses!M15*s_GSFb*s_Fin*s_Fi*s_Fam*s_Foff*Isospec!N16*s_ETiw*(1/24)*s_EFiw*(1/365)),".")</f>
        <v>.</v>
      </c>
      <c r="F17" s="3" t="str">
        <f>IFERROR((s_DL)/(Doses!N15*s_GSFb*s_Fin*s_Fi*s_Fam*s_Foff*Isospec!O16*s_ETiw*(1/24)*s_EFiw*(1/365)),".")</f>
        <v>.</v>
      </c>
      <c r="G17" s="5" t="str">
        <f>IFERROR((s_DL)/(Doses!O15*s_GSFb*s_Fin*s_Fi*s_Fam*s_Foff*Isospec!P16*s_ETiw*(1/24)*s_EFiw*(1/365)),".")</f>
        <v>.</v>
      </c>
      <c r="H17" s="2" t="str">
        <f t="shared" ref="H17:H23" si="42">IFERROR(C17/s_1_bq,".")</f>
        <v>.</v>
      </c>
      <c r="I17" s="3" t="str">
        <f t="shared" ref="I17:I23" si="43">IFERROR(D17/s_1_bq,".")</f>
        <v>.</v>
      </c>
      <c r="J17" s="3" t="str">
        <f t="shared" ref="J17:J23" si="44">IFERROR(E17/s_1_bq,".")</f>
        <v>.</v>
      </c>
      <c r="K17" s="3" t="str">
        <f t="shared" ref="K17:K23" si="45">IFERROR(F17/s_1_bq,".")</f>
        <v>.</v>
      </c>
      <c r="L17" s="5" t="str">
        <f t="shared" ref="L17:L23" si="46">IFERROR(G17/s_1_bq,".")</f>
        <v>.</v>
      </c>
      <c r="M17" s="2" t="str">
        <f>IFERROR(C17*Isospec!C16*Isospec!F16*s_SSLgram,".")</f>
        <v>.</v>
      </c>
      <c r="N17" s="3" t="str">
        <f>IFERROR(D17*Isospec!C16*Isospec!F16*s_SSLcm_m,".")</f>
        <v>.</v>
      </c>
      <c r="O17" s="3" t="str">
        <f>IFERROR(E17*Isospec!C16*Isospec!F16*s_SSLgram,".")</f>
        <v>.</v>
      </c>
      <c r="P17" s="3" t="str">
        <f>IFERROR(F17*Isospec!C16*Isospec!F16*s_SSLgram,".")</f>
        <v>.</v>
      </c>
      <c r="Q17" s="5" t="str">
        <f>IFERROR(G17*Isospec!C16*Isospec!F16*s_SSLgram,".")</f>
        <v>.</v>
      </c>
      <c r="R17" s="62" t="str">
        <f t="shared" ref="R17:R23" si="47">IF(D17&lt;&gt;".",D17*2.22*100,".")</f>
        <v>.</v>
      </c>
    </row>
    <row r="18" spans="1:18">
      <c r="A18" s="82" t="s">
        <v>33</v>
      </c>
      <c r="B18" s="85" t="s">
        <v>50</v>
      </c>
      <c r="C18" s="2">
        <f>IFERROR((s_DL)/(Doses!I16*s_GSFb*s_Fin*s_Fi*s_Fam*s_Foff*Isospec!M17*s_ETiw*(1/24)*s_EFiw*(1/365)),".")</f>
        <v>21.351505948955445</v>
      </c>
      <c r="D18" s="3">
        <f>IFERROR((s_DL)/(Doses!L16*s_GSFb*s_Fin*s_Fi*s_Fam*s_Foff*Isospec!L17*s_ETiw*(1/24)*s_EFiw*(1/365)),".")</f>
        <v>4.7051409522604022</v>
      </c>
      <c r="E18" s="3">
        <f>IFERROR((s_DL)/(Doses!M16*s_GSFb*s_Fin*s_Fi*s_Fam*s_Foff*Isospec!N17*s_ETiw*(1/24)*s_EFiw*(1/365)),".")</f>
        <v>9.6297466262533646</v>
      </c>
      <c r="F18" s="3">
        <f>IFERROR((s_DL)/(Doses!N16*s_GSFb*s_Fin*s_Fi*s_Fam*s_Foff*Isospec!O17*s_ETiw*(1/24)*s_EFiw*(1/365)),".")</f>
        <v>9.7364001528573159</v>
      </c>
      <c r="G18" s="5">
        <f>IFERROR((s_DL)/(Doses!O16*s_GSFb*s_Fin*s_Fi*s_Fam*s_Foff*Isospec!P17*s_ETiw*(1/24)*s_EFiw*(1/365)),".")</f>
        <v>10.360881752070746</v>
      </c>
      <c r="H18" s="2">
        <f t="shared" si="42"/>
        <v>0.79000572011135228</v>
      </c>
      <c r="I18" s="3">
        <f t="shared" si="43"/>
        <v>0.17409021523363505</v>
      </c>
      <c r="J18" s="3">
        <f t="shared" si="44"/>
        <v>0.35630062517137484</v>
      </c>
      <c r="K18" s="3">
        <f t="shared" si="45"/>
        <v>0.36024680565572104</v>
      </c>
      <c r="L18" s="5">
        <f t="shared" si="46"/>
        <v>0.38335262482661797</v>
      </c>
      <c r="M18" s="2">
        <f>IFERROR(C18*Isospec!C17*Isospec!F17*s_SSLgram,".")</f>
        <v>6.2773427489929008E-8</v>
      </c>
      <c r="N18" s="3">
        <f>IFERROR(D18*Isospec!C17*Isospec!F17*s_SSLcm_m,".")</f>
        <v>1.3833114399645583E-11</v>
      </c>
      <c r="O18" s="3">
        <f>IFERROR(E18*Isospec!C17*Isospec!F17*s_SSLgram,".")</f>
        <v>2.8311455081184893E-8</v>
      </c>
      <c r="P18" s="3">
        <f>IFERROR(F18*Isospec!C17*Isospec!F17*s_SSLgram,".")</f>
        <v>2.8625016449400505E-8</v>
      </c>
      <c r="Q18" s="5">
        <f>IFERROR(G18*Isospec!C17*Isospec!F17*s_SSLgram,".")</f>
        <v>3.0460992351087991E-8</v>
      </c>
      <c r="R18" s="62">
        <f t="shared" si="47"/>
        <v>1044.5412914018095</v>
      </c>
    </row>
    <row r="19" spans="1:18">
      <c r="A19" s="82" t="s">
        <v>34</v>
      </c>
      <c r="B19" s="85" t="s">
        <v>50</v>
      </c>
      <c r="C19" s="2">
        <f>IFERROR((s_DL)/(Doses!I17*s_GSFb*s_Fin*s_Fi*s_Fam*s_Foff*Isospec!M18*s_ETiw*(1/24)*s_EFiw*(1/365)),".")</f>
        <v>3.3935836854272159</v>
      </c>
      <c r="D19" s="3">
        <f>IFERROR((s_DL)/(Doses!L17*s_GSFb*s_Fin*s_Fi*s_Fam*s_Foff*Isospec!L18*s_ETiw*(1/24)*s_EFiw*(1/365)),".")</f>
        <v>2.8377883745881269</v>
      </c>
      <c r="E19" s="3">
        <f>IFERROR((s_DL)/(Doses!M17*s_GSFb*s_Fin*s_Fi*s_Fam*s_Foff*Isospec!N18*s_ETiw*(1/24)*s_EFiw*(1/365)),".")</f>
        <v>2.734315072268124</v>
      </c>
      <c r="F19" s="3">
        <f>IFERROR((s_DL)/(Doses!N17*s_GSFb*s_Fin*s_Fi*s_Fam*s_Foff*Isospec!O18*s_ETiw*(1/24)*s_EFiw*(1/365)),".")</f>
        <v>2.7693505222068406</v>
      </c>
      <c r="G19" s="5">
        <f>IFERROR((s_DL)/(Doses!O17*s_GSFb*s_Fin*s_Fi*s_Fam*s_Foff*Isospec!P18*s_ETiw*(1/24)*s_EFiw*(1/365)),".")</f>
        <v>3.2361214964228182</v>
      </c>
      <c r="H19" s="2">
        <f t="shared" si="42"/>
        <v>0.1255625963608071</v>
      </c>
      <c r="I19" s="3">
        <f t="shared" si="43"/>
        <v>0.10499816985976081</v>
      </c>
      <c r="J19" s="3">
        <f t="shared" si="44"/>
        <v>0.10116965767392069</v>
      </c>
      <c r="K19" s="3">
        <f t="shared" si="45"/>
        <v>0.10246596932165321</v>
      </c>
      <c r="L19" s="5">
        <f t="shared" si="46"/>
        <v>0.1197364953676444</v>
      </c>
      <c r="M19" s="2">
        <f>IFERROR(C19*Isospec!C18*Isospec!F18*s_SSLgram,".")</f>
        <v>1.016717672153994E-8</v>
      </c>
      <c r="N19" s="3">
        <f>IFERROR(D19*Isospec!C18*Isospec!F18*s_SSLcm_m,".")</f>
        <v>8.5020139702660291E-12</v>
      </c>
      <c r="O19" s="3">
        <f>IFERROR(E19*Isospec!C18*Isospec!F18*s_SSLgram,".")</f>
        <v>8.1920079565152996E-9</v>
      </c>
      <c r="P19" s="3">
        <f>IFERROR(F19*Isospec!C18*Isospec!F18*s_SSLgram,".")</f>
        <v>8.2969741645316929E-9</v>
      </c>
      <c r="Q19" s="5">
        <f>IFERROR(G19*Isospec!C18*Isospec!F18*s_SSLgram,".")</f>
        <v>9.6954200032827622E-9</v>
      </c>
      <c r="R19" s="62">
        <f t="shared" si="47"/>
        <v>629.98901915856425</v>
      </c>
    </row>
    <row r="20" spans="1:18">
      <c r="A20" s="82" t="s">
        <v>36</v>
      </c>
      <c r="B20" s="85" t="s">
        <v>50</v>
      </c>
      <c r="C20" s="2">
        <f>IFERROR((s_DL)/(Doses!I18*s_GSFb*s_Fin*s_Fi*s_Fam*s_Foff*Isospec!M19*s_ETiw*(1/24)*s_EFiw*(1/365)),".")</f>
        <v>221526.71900752946</v>
      </c>
      <c r="D20" s="3">
        <f>IFERROR((s_DL)/(Doses!L18*s_GSFb*s_Fin*s_Fi*s_Fam*s_Foff*Isospec!L19*s_ETiw*(1/24)*s_EFiw*(1/365)),".")</f>
        <v>356983.28427726222</v>
      </c>
      <c r="E20" s="3">
        <f>IFERROR((s_DL)/(Doses!M18*s_GSFb*s_Fin*s_Fi*s_Fam*s_Foff*Isospec!N19*s_ETiw*(1/24)*s_EFiw*(1/365)),".")</f>
        <v>256905.84128799141</v>
      </c>
      <c r="F20" s="3">
        <f>IFERROR((s_DL)/(Doses!N18*s_GSFb*s_Fin*s_Fi*s_Fam*s_Foff*Isospec!O19*s_ETiw*(1/24)*s_EFiw*(1/365)),".")</f>
        <v>250796.37987105895</v>
      </c>
      <c r="G20" s="5">
        <f>IFERROR((s_DL)/(Doses!O18*s_GSFb*s_Fin*s_Fi*s_Fam*s_Foff*Isospec!P19*s_ETiw*(1/24)*s_EFiw*(1/365)),".")</f>
        <v>289037.77524255606</v>
      </c>
      <c r="H20" s="2">
        <f t="shared" si="42"/>
        <v>8196.488603278598</v>
      </c>
      <c r="I20" s="3">
        <f t="shared" si="43"/>
        <v>13208.381518258715</v>
      </c>
      <c r="J20" s="3">
        <f t="shared" si="44"/>
        <v>9505.5161276556919</v>
      </c>
      <c r="K20" s="3">
        <f t="shared" si="45"/>
        <v>9279.4660552291898</v>
      </c>
      <c r="L20" s="5">
        <f t="shared" si="46"/>
        <v>10694.397683974585</v>
      </c>
      <c r="M20" s="2">
        <f>IFERROR(C20*Isospec!C19*Isospec!F19*s_SSLgram,".")</f>
        <v>6.5128855388213653E-4</v>
      </c>
      <c r="N20" s="3">
        <f>IFERROR(D20*Isospec!C19*Isospec!F19*s_SSLcm_m,".")</f>
        <v>1.0495308557751511E-6</v>
      </c>
      <c r="O20" s="3">
        <f>IFERROR(E20*Isospec!C19*Isospec!F19*s_SSLgram,".")</f>
        <v>7.5530317338669479E-4</v>
      </c>
      <c r="P20" s="3">
        <f>IFERROR(F20*Isospec!C19*Isospec!F19*s_SSLgram,".")</f>
        <v>7.3734135682091318E-4</v>
      </c>
      <c r="Q20" s="5">
        <f>IFERROR(G20*Isospec!C19*Isospec!F19*s_SSLgram,".")</f>
        <v>8.497710592131147E-4</v>
      </c>
      <c r="R20" s="62">
        <f t="shared" si="47"/>
        <v>79250289.10955222</v>
      </c>
    </row>
    <row r="21" spans="1:18">
      <c r="A21" s="82" t="s">
        <v>37</v>
      </c>
      <c r="B21" s="12" t="s">
        <v>50</v>
      </c>
      <c r="C21" s="2">
        <f>IFERROR((s_DL)/(Doses!I19*s_GSFb*s_Fin*s_Fi*s_Fam*s_Foff*Isospec!M20*s_ETiw*(1/24)*s_EFiw*(1/365)),".")</f>
        <v>55480.523437263611</v>
      </c>
      <c r="D21" s="3">
        <f>IFERROR((s_DL)/(Doses!L19*s_GSFb*s_Fin*s_Fi*s_Fam*s_Foff*Isospec!L20*s_ETiw*(1/24)*s_EFiw*(1/365)),".")</f>
        <v>85729.881367909868</v>
      </c>
      <c r="E21" s="3">
        <f>IFERROR((s_DL)/(Doses!M19*s_GSFb*s_Fin*s_Fi*s_Fam*s_Foff*Isospec!N20*s_ETiw*(1/24)*s_EFiw*(1/365)),".")</f>
        <v>62935.075281360303</v>
      </c>
      <c r="F21" s="3">
        <f>IFERROR((s_DL)/(Doses!N19*s_GSFb*s_Fin*s_Fi*s_Fam*s_Foff*Isospec!O20*s_ETiw*(1/24)*s_EFiw*(1/365)),".")</f>
        <v>61360.857376331878</v>
      </c>
      <c r="G21" s="5">
        <f>IFERROR((s_DL)/(Doses!O19*s_GSFb*s_Fin*s_Fi*s_Fam*s_Foff*Isospec!P20*s_ETiw*(1/24)*s_EFiw*(1/365)),".")</f>
        <v>71298.025976120844</v>
      </c>
      <c r="H21" s="2">
        <f t="shared" si="42"/>
        <v>2052.7793671787558</v>
      </c>
      <c r="I21" s="3">
        <f t="shared" si="43"/>
        <v>3172.0056106126685</v>
      </c>
      <c r="J21" s="3">
        <f t="shared" si="44"/>
        <v>2328.5977854103335</v>
      </c>
      <c r="K21" s="3">
        <f t="shared" si="45"/>
        <v>2270.3517229242816</v>
      </c>
      <c r="L21" s="5">
        <f t="shared" si="46"/>
        <v>2638.026961116474</v>
      </c>
      <c r="M21" s="2">
        <f>IFERROR(C21*Isospec!C20*Isospec!F20*s_SSLgram,".")</f>
        <v>1.6544292088992008E-4</v>
      </c>
      <c r="N21" s="3">
        <f>IFERROR(D21*Isospec!C20*Isospec!F20*s_SSLcm_m,".")</f>
        <v>2.5564650623910726E-7</v>
      </c>
      <c r="O21" s="3">
        <f>IFERROR(E21*Isospec!C20*Isospec!F20*s_SSLgram,".")</f>
        <v>1.8767239448901641E-4</v>
      </c>
      <c r="P21" s="3">
        <f>IFERROR(F21*Isospec!C20*Isospec!F20*s_SSLgram,".")</f>
        <v>1.8297807669622165E-4</v>
      </c>
      <c r="Q21" s="5">
        <f>IFERROR(G21*Isospec!C20*Isospec!F20*s_SSLgram,".")</f>
        <v>2.1261071346079233E-4</v>
      </c>
      <c r="R21" s="62">
        <f t="shared" si="47"/>
        <v>19032033.663675994</v>
      </c>
    </row>
    <row r="22" spans="1:18">
      <c r="A22" s="82" t="s">
        <v>38</v>
      </c>
      <c r="B22" s="85" t="s">
        <v>50</v>
      </c>
      <c r="C22" s="2">
        <f>IFERROR((s_DL)/(Doses!I20*s_GSFb*s_Fin*s_Fi*s_Fam*s_Foff*Isospec!M21*s_ETiw*(1/24)*s_EFiw*(1/365)),".")</f>
        <v>25756.1171624833</v>
      </c>
      <c r="D22" s="3">
        <f>IFERROR((s_DL)/(Doses!L20*s_GSFb*s_Fin*s_Fi*s_Fam*s_Foff*Isospec!L21*s_ETiw*(1/24)*s_EFiw*(1/365)),".")</f>
        <v>41490.212972057721</v>
      </c>
      <c r="E22" s="3">
        <f>IFERROR((s_DL)/(Doses!M20*s_GSFb*s_Fin*s_Fi*s_Fam*s_Foff*Isospec!N21*s_ETiw*(1/24)*s_EFiw*(1/365)),".")</f>
        <v>29855.899774098805</v>
      </c>
      <c r="F22" s="3">
        <f>IFERROR((s_DL)/(Doses!N20*s_GSFb*s_Fin*s_Fi*s_Fam*s_Foff*Isospec!O21*s_ETiw*(1/24)*s_EFiw*(1/365)),".")</f>
        <v>29109.447358507183</v>
      </c>
      <c r="G22" s="5">
        <f>IFERROR((s_DL)/(Doses!O20*s_GSFb*s_Fin*s_Fi*s_Fam*s_Foff*Isospec!P21*s_ETiw*(1/24)*s_EFiw*(1/365)),".")</f>
        <v>33569.764437273923</v>
      </c>
      <c r="H22" s="2">
        <f t="shared" si="42"/>
        <v>952.97633501188307</v>
      </c>
      <c r="I22" s="3">
        <f t="shared" si="43"/>
        <v>1535.1378799661372</v>
      </c>
      <c r="J22" s="3">
        <f t="shared" si="44"/>
        <v>1104.6682916416569</v>
      </c>
      <c r="K22" s="3">
        <f t="shared" si="45"/>
        <v>1077.0495522647668</v>
      </c>
      <c r="L22" s="5">
        <f t="shared" si="46"/>
        <v>1242.0812841791364</v>
      </c>
      <c r="M22" s="2">
        <f>IFERROR(C22*Isospec!C21*Isospec!F21*s_SSLgram,".")</f>
        <v>7.7165327018799962E-5</v>
      </c>
      <c r="N22" s="3">
        <f>IFERROR(D22*Isospec!C21*Isospec!F21*s_SSLcm_m,".")</f>
        <v>1.2430467806428495E-7</v>
      </c>
      <c r="O22" s="3">
        <f>IFERROR(E22*Isospec!C21*Isospec!F21*s_SSLgram,".")</f>
        <v>8.944827572320001E-5</v>
      </c>
      <c r="P22" s="3">
        <f>IFERROR(F22*Isospec!C21*Isospec!F21*s_SSLgram,".")</f>
        <v>8.7211904286087528E-5</v>
      </c>
      <c r="Q22" s="5">
        <f>IFERROR(G22*Isospec!C21*Isospec!F21*s_SSLgram,".")</f>
        <v>1.0057501425407267E-4</v>
      </c>
      <c r="R22" s="62">
        <f t="shared" si="47"/>
        <v>9210827.2797968145</v>
      </c>
    </row>
    <row r="23" spans="1:18">
      <c r="A23" s="82" t="s">
        <v>39</v>
      </c>
      <c r="B23" s="85" t="s">
        <v>50</v>
      </c>
      <c r="C23" s="2" t="str">
        <f>IFERROR((s_DL)/(Doses!I21*s_GSFb*s_Fin*s_Fi*s_Fam*s_Foff*Isospec!M22*s_ETiw*(1/24)*s_EFiw*(1/365)),".")</f>
        <v>.</v>
      </c>
      <c r="D23" s="3" t="str">
        <f>IFERROR((s_DL)/(Doses!L21*s_GSFb*s_Fin*s_Fi*s_Fam*s_Foff*Isospec!L22*s_ETiw*(1/24)*s_EFiw*(1/365)),".")</f>
        <v>.</v>
      </c>
      <c r="E23" s="3" t="str">
        <f>IFERROR((s_DL)/(Doses!M21*s_GSFb*s_Fin*s_Fi*s_Fam*s_Foff*Isospec!N22*s_ETiw*(1/24)*s_EFiw*(1/365)),".")</f>
        <v>.</v>
      </c>
      <c r="F23" s="3" t="str">
        <f>IFERROR((s_DL)/(Doses!N21*s_GSFb*s_Fin*s_Fi*s_Fam*s_Foff*Isospec!O22*s_ETiw*(1/24)*s_EFiw*(1/365)),".")</f>
        <v>.</v>
      </c>
      <c r="G23" s="5" t="str">
        <f>IFERROR((s_DL)/(Doses!O21*s_GSFb*s_Fin*s_Fi*s_Fam*s_Foff*Isospec!P22*s_ETiw*(1/24)*s_EFiw*(1/365)),".")</f>
        <v>.</v>
      </c>
      <c r="H23" s="2" t="str">
        <f t="shared" si="42"/>
        <v>.</v>
      </c>
      <c r="I23" s="3" t="str">
        <f t="shared" si="43"/>
        <v>.</v>
      </c>
      <c r="J23" s="3" t="str">
        <f t="shared" si="44"/>
        <v>.</v>
      </c>
      <c r="K23" s="3" t="str">
        <f t="shared" si="45"/>
        <v>.</v>
      </c>
      <c r="L23" s="5" t="str">
        <f t="shared" si="46"/>
        <v>.</v>
      </c>
      <c r="M23" s="2" t="str">
        <f>IFERROR(C23*Isospec!C22*Isospec!F22*s_SSLgram,".")</f>
        <v>.</v>
      </c>
      <c r="N23" s="3" t="str">
        <f>IFERROR(D23*Isospec!C22*Isospec!F22*s_SSLcm_m,".")</f>
        <v>.</v>
      </c>
      <c r="O23" s="3" t="str">
        <f>IFERROR(E23*Isospec!C22*Isospec!F22*s_SSLgram,".")</f>
        <v>.</v>
      </c>
      <c r="P23" s="3" t="str">
        <f>IFERROR(F23*Isospec!C22*Isospec!F22*s_SSLgram,".")</f>
        <v>.</v>
      </c>
      <c r="Q23" s="5" t="str">
        <f>IFERROR(G23*Isospec!C22*Isospec!F22*s_SSLgram,".")</f>
        <v>.</v>
      </c>
      <c r="R23" s="62" t="str">
        <f t="shared" si="47"/>
        <v>.</v>
      </c>
    </row>
    <row r="24" spans="1:18">
      <c r="A24" s="82" t="s">
        <v>26</v>
      </c>
      <c r="B24" s="12" t="s">
        <v>50</v>
      </c>
      <c r="C24" s="2">
        <f>IFERROR((s_DL)/(Doses!I22*s_GSFb*s_Fin*s_Fi*s_Fam*s_Foff*Isospec!M23*s_ETiw*(1/24)*s_EFiw*(1/365)),".")</f>
        <v>4.8168791264894208</v>
      </c>
      <c r="D24" s="3">
        <f>IFERROR((s_DL)/(Doses!L22*s_GSFb*s_Fin*s_Fi*s_Fam*s_Foff*Isospec!L23*s_ETiw*(1/24)*s_EFiw*(1/365)),".")</f>
        <v>5.4119816675032073</v>
      </c>
      <c r="E24" s="3">
        <f>IFERROR((s_DL)/(Doses!M22*s_GSFb*s_Fin*s_Fi*s_Fam*s_Foff*Isospec!N23*s_ETiw*(1/24)*s_EFiw*(1/365)),".")</f>
        <v>8.5911847846932758</v>
      </c>
      <c r="F24" s="3">
        <f>IFERROR((s_DL)/(Doses!N22*s_GSFb*s_Fin*s_Fi*s_Fam*s_Foff*Isospec!O23*s_ETiw*(1/24)*s_EFiw*(1/365)),".")</f>
        <v>8.1431138406299493</v>
      </c>
      <c r="G24" s="5">
        <f>IFERROR((s_DL)/(Doses!O22*s_GSFb*s_Fin*s_Fi*s_Fam*s_Foff*Isospec!P23*s_ETiw*(1/24)*s_EFiw*(1/365)),".")</f>
        <v>8.9773778328692799</v>
      </c>
      <c r="H24" s="2">
        <f t="shared" ref="H24:H25" si="48">IFERROR(C24/s_1_bq,".")</f>
        <v>0.17822452768010874</v>
      </c>
      <c r="I24" s="3">
        <f t="shared" ref="I24:I25" si="49">IFERROR(D24/s_1_bq,".")</f>
        <v>0.20024332169761888</v>
      </c>
      <c r="J24" s="3">
        <f t="shared" ref="J24:J25" si="50">IFERROR(E24/s_1_bq,".")</f>
        <v>0.31787383703365152</v>
      </c>
      <c r="K24" s="3">
        <f t="shared" ref="K24:K25" si="51">IFERROR(F24/s_1_bq,".")</f>
        <v>0.30129521210330845</v>
      </c>
      <c r="L24" s="5">
        <f t="shared" ref="L24:L25" si="52">IFERROR(G24/s_1_bq,".")</f>
        <v>0.33216297981616372</v>
      </c>
      <c r="M24" s="2">
        <f>IFERROR(C24*Isospec!C23*Isospec!F23*s_SSLgram,".")</f>
        <v>1.5173169248441676E-8</v>
      </c>
      <c r="N24" s="3">
        <f>IFERROR(D24*Isospec!C23*Isospec!F23*s_SSLcm_m,".")</f>
        <v>1.7047742252635102E-11</v>
      </c>
      <c r="O24" s="3">
        <f>IFERROR(E24*Isospec!C23*Isospec!F23*s_SSLgram,".")</f>
        <v>2.7062232071783818E-8</v>
      </c>
      <c r="P24" s="3">
        <f>IFERROR(F24*Isospec!C23*Isospec!F23*s_SSLgram,".")</f>
        <v>2.5650808597984341E-8</v>
      </c>
      <c r="Q24" s="5">
        <f>IFERROR(G24*Isospec!C23*Isospec!F23*s_SSLgram,".")</f>
        <v>2.8278740173538229E-8</v>
      </c>
      <c r="R24" s="62">
        <f t="shared" ref="R24:R25" si="53">IF(D24&lt;&gt;".",D24*2.22*100,".")</f>
        <v>1201.4599301857122</v>
      </c>
    </row>
    <row r="25" spans="1:18">
      <c r="A25" s="83" t="s">
        <v>27</v>
      </c>
      <c r="B25" s="85" t="s">
        <v>44</v>
      </c>
      <c r="C25" s="2">
        <f>IFERROR((s_DL)/(Doses!I23*s_GSFb*s_Fin*s_Fi*s_Fam*s_Foff*Isospec!M24*s_ETiw*(1/24)*s_EFiw*(1/365)),".")</f>
        <v>79.215961681332871</v>
      </c>
      <c r="D25" s="3">
        <f>IFERROR((s_DL)/(Doses!L23*s_GSFb*s_Fin*s_Fi*s_Fam*s_Foff*Isospec!L24*s_ETiw*(1/24)*s_EFiw*(1/365)),".")</f>
        <v>3.9858378551355069</v>
      </c>
      <c r="E25" s="3">
        <f>IFERROR((s_DL)/(Doses!M23*s_GSFb*s_Fin*s_Fi*s_Fam*s_Foff*Isospec!N24*s_ETiw*(1/24)*s_EFiw*(1/365)),".")</f>
        <v>3.0680616997357122</v>
      </c>
      <c r="F25" s="3">
        <f>IFERROR((s_DL)/(Doses!N23*s_GSFb*s_Fin*s_Fi*s_Fam*s_Foff*Isospec!O24*s_ETiw*(1/24)*s_EFiw*(1/365)),".")</f>
        <v>3.1231399112380336</v>
      </c>
      <c r="G25" s="5">
        <f>IFERROR((s_DL)/(Doses!O23*s_GSFb*s_Fin*s_Fi*s_Fam*s_Foff*Isospec!P24*s_ETiw*(1/24)*s_EFiw*(1/365)),".")</f>
        <v>2.9493478570457206</v>
      </c>
      <c r="H25" s="2">
        <f t="shared" si="48"/>
        <v>2.9309905822093194</v>
      </c>
      <c r="I25" s="3">
        <f t="shared" si="49"/>
        <v>0.1474760006400139</v>
      </c>
      <c r="J25" s="3">
        <f t="shared" si="50"/>
        <v>0.11351828289022146</v>
      </c>
      <c r="K25" s="3">
        <f t="shared" si="51"/>
        <v>0.11555617671580735</v>
      </c>
      <c r="L25" s="5">
        <f t="shared" si="52"/>
        <v>0.10912587071069177</v>
      </c>
      <c r="M25" s="2">
        <f>IFERROR(C25*Isospec!C24*Isospec!F24*s_SSLgram,".")</f>
        <v>2.5063930275973718E-7</v>
      </c>
      <c r="N25" s="3">
        <f>IFERROR(D25*Isospec!C24*Isospec!F24*s_SSLcm_m,".")</f>
        <v>1.2611190973648745E-11</v>
      </c>
      <c r="O25" s="3">
        <f>IFERROR(E25*Isospec!C24*Isospec!F24*s_SSLgram,".")</f>
        <v>9.7073472179637924E-9</v>
      </c>
      <c r="P25" s="3">
        <f>IFERROR(F25*Isospec!C24*Isospec!F24*s_SSLgram,".")</f>
        <v>9.881614679157138E-9</v>
      </c>
      <c r="Q25" s="5">
        <f>IFERROR(G25*Isospec!C24*Isospec!F24*s_SSLgram,".")</f>
        <v>9.3317366196926599E-9</v>
      </c>
      <c r="R25" s="62">
        <f t="shared" si="53"/>
        <v>884.85600384008262</v>
      </c>
    </row>
    <row r="26" spans="1:18">
      <c r="A26" s="82" t="s">
        <v>30</v>
      </c>
      <c r="B26" s="85" t="s">
        <v>50</v>
      </c>
      <c r="C26" s="2">
        <f>IFERROR((s_DL)/(Doses!I24*s_GSFb*s_Fin*s_Fi*s_Fam*s_Foff*Isospec!M25*s_ETiw*(1/24)*s_EFiw*(1/365)),".")</f>
        <v>2351.3936916632279</v>
      </c>
      <c r="D26" s="3">
        <f>IFERROR((s_DL)/(Doses!L24*s_GSFb*s_Fin*s_Fi*s_Fam*s_Foff*Isospec!L25*s_ETiw*(1/24)*s_EFiw*(1/365)),".")</f>
        <v>3370.8443059612132</v>
      </c>
      <c r="E26" s="3">
        <f>IFERROR((s_DL)/(Doses!M24*s_GSFb*s_Fin*s_Fi*s_Fam*s_Foff*Isospec!N25*s_ETiw*(1/24)*s_EFiw*(1/365)),".")</f>
        <v>2478.1474543292029</v>
      </c>
      <c r="F26" s="3">
        <f>IFERROR((s_DL)/(Doses!N24*s_GSFb*s_Fin*s_Fi*s_Fam*s_Foff*Isospec!O25*s_ETiw*(1/24)*s_EFiw*(1/365)),".")</f>
        <v>2258.4381217500968</v>
      </c>
      <c r="G26" s="5">
        <f>IFERROR((s_DL)/(Doses!O24*s_GSFb*s_Fin*s_Fi*s_Fam*s_Foff*Isospec!P25*s_ETiw*(1/24)*s_EFiw*(1/365)),".")</f>
        <v>2860.2721510716178</v>
      </c>
      <c r="H26" s="2">
        <f t="shared" ref="H26" si="54">IFERROR(C26/s_1_bq,".")</f>
        <v>87.001566591539515</v>
      </c>
      <c r="I26" s="3">
        <f t="shared" ref="I26" si="55">IFERROR(D26/s_1_bq,".")</f>
        <v>124.72123932056502</v>
      </c>
      <c r="J26" s="3">
        <f t="shared" ref="J26" si="56">IFERROR(E26/s_1_bq,".")</f>
        <v>91.691455810180599</v>
      </c>
      <c r="K26" s="3">
        <f t="shared" ref="K26" si="57">IFERROR(F26/s_1_bq,".")</f>
        <v>83.562210504753665</v>
      </c>
      <c r="L26" s="5">
        <f t="shared" ref="L26" si="58">IFERROR(G26/s_1_bq,".")</f>
        <v>105.83006958964997</v>
      </c>
      <c r="M26" s="2">
        <f>IFERROR(C26*Isospec!C25*Isospec!F25*s_SSLgram,".")</f>
        <v>7.1764535469561711E-6</v>
      </c>
      <c r="N26" s="3">
        <f>IFERROR(D26*Isospec!C25*Isospec!F25*s_SSLcm_m,".")</f>
        <v>1.0287816821793622E-8</v>
      </c>
      <c r="O26" s="3">
        <f>IFERROR(E26*Isospec!C25*Isospec!F25*s_SSLgram,".")</f>
        <v>7.5633060306127268E-6</v>
      </c>
      <c r="P26" s="3">
        <f>IFERROR(F26*Isospec!C25*Isospec!F25*s_SSLgram,".")</f>
        <v>6.8927531475812949E-6</v>
      </c>
      <c r="Q26" s="5">
        <f>IFERROR(G26*Isospec!C25*Isospec!F25*s_SSLgram,".")</f>
        <v>8.7295506050705779E-6</v>
      </c>
      <c r="R26" s="62">
        <f t="shared" ref="R26:R27" si="59">IF(D26&lt;&gt;".",D26*2.22*100,".")</f>
        <v>748327.43592338939</v>
      </c>
    </row>
    <row r="27" spans="1:18">
      <c r="A27" s="83" t="s">
        <v>31</v>
      </c>
      <c r="B27" s="85" t="s">
        <v>44</v>
      </c>
      <c r="C27" s="2">
        <f>IFERROR((s_DL)/(Doses!I25*s_GSFb*s_Fin*s_Fi*s_Fam*s_Foff*Isospec!M26*s_ETiw*(1/24)*s_EFiw*(1/365)),".")</f>
        <v>3778.717474141803</v>
      </c>
      <c r="D27" s="3">
        <f>IFERROR((s_DL)/(Doses!L25*s_GSFb*s_Fin*s_Fi*s_Fam*s_Foff*Isospec!L26*s_ETiw*(1/24)*s_EFiw*(1/365)),".")</f>
        <v>5339.8592549120085</v>
      </c>
      <c r="E27" s="3">
        <f>IFERROR((s_DL)/(Doses!M25*s_GSFb*s_Fin*s_Fi*s_Fam*s_Foff*Isospec!N26*s_ETiw*(1/24)*s_EFiw*(1/365)),".")</f>
        <v>4083.5109580442449</v>
      </c>
      <c r="F27" s="3">
        <f>IFERROR((s_DL)/(Doses!N25*s_GSFb*s_Fin*s_Fi*s_Fam*s_Foff*Isospec!O26*s_ETiw*(1/24)*s_EFiw*(1/365)),".")</f>
        <v>3511.0557800007959</v>
      </c>
      <c r="G27" s="5">
        <f>IFERROR((s_DL)/(Doses!O25*s_GSFb*s_Fin*s_Fi*s_Fam*s_Foff*Isospec!P26*s_ETiw*(1/24)*s_EFiw*(1/365)),".")</f>
        <v>3765.3756173666447</v>
      </c>
      <c r="H27" s="2">
        <f t="shared" ref="H27" si="60">IFERROR(C27/s_1_bq,".")</f>
        <v>139.81254654324684</v>
      </c>
      <c r="I27" s="3">
        <f t="shared" ref="I27" si="61">IFERROR(D27/s_1_bq,".")</f>
        <v>197.57479243174453</v>
      </c>
      <c r="J27" s="3">
        <f t="shared" ref="J27" si="62">IFERROR(E27/s_1_bq,".")</f>
        <v>151.08990544763722</v>
      </c>
      <c r="K27" s="3">
        <f t="shared" ref="K27" si="63">IFERROR(F27/s_1_bq,".")</f>
        <v>129.90906386002959</v>
      </c>
      <c r="L27" s="5">
        <f t="shared" ref="L27" si="64">IFERROR(G27/s_1_bq,".")</f>
        <v>139.318897842566</v>
      </c>
      <c r="M27" s="2">
        <f>IFERROR(C27*Isospec!C26*Isospec!F26*s_SSLgram,".")</f>
        <v>1.1744253909632721E-5</v>
      </c>
      <c r="N27" s="3">
        <f>IFERROR(D27*Isospec!C26*Isospec!F26*s_SSLcm_m,".")</f>
        <v>1.6596282564266521E-8</v>
      </c>
      <c r="O27" s="3">
        <f>IFERROR(E27*Isospec!C26*Isospec!F26*s_SSLgram,".")</f>
        <v>1.2691552057601511E-5</v>
      </c>
      <c r="P27" s="3">
        <f>IFERROR(F27*Isospec!C26*Isospec!F26*s_SSLgram,".")</f>
        <v>1.0912361364242474E-5</v>
      </c>
      <c r="Q27" s="5">
        <f>IFERROR(G27*Isospec!C26*Isospec!F26*s_SSLgram,".")</f>
        <v>1.1702787418775532E-5</v>
      </c>
      <c r="R27" s="62">
        <f t="shared" si="59"/>
        <v>1185448.7545904659</v>
      </c>
    </row>
    <row r="28" spans="1:18">
      <c r="A28" s="82" t="s">
        <v>35</v>
      </c>
      <c r="B28" s="12" t="s">
        <v>50</v>
      </c>
      <c r="C28" s="2">
        <f>IFERROR((s_DL)/(Doses!I26*s_GSFb*s_Fin*s_Fi*s_Fam*s_Foff*Isospec!M27*s_ETiw*(1/24)*s_EFiw*(1/365)),".")</f>
        <v>5.9067729070037256</v>
      </c>
      <c r="D28" s="3">
        <f>IFERROR((s_DL)/(Doses!L26*s_GSFb*s_Fin*s_Fi*s_Fam*s_Foff*Isospec!L27*s_ETiw*(1/24)*s_EFiw*(1/365)),".")</f>
        <v>1.140525531024605</v>
      </c>
      <c r="E28" s="3">
        <f>IFERROR((s_DL)/(Doses!M26*s_GSFb*s_Fin*s_Fi*s_Fam*s_Foff*Isospec!N27*s_ETiw*(1/24)*s_EFiw*(1/365)),".")</f>
        <v>1.7130051714518695</v>
      </c>
      <c r="F28" s="3">
        <f>IFERROR((s_DL)/(Doses!N26*s_GSFb*s_Fin*s_Fi*s_Fam*s_Foff*Isospec!O27*s_ETiw*(1/24)*s_EFiw*(1/365)),".")</f>
        <v>1.6986949257656536</v>
      </c>
      <c r="G28" s="5">
        <f>IFERROR((s_DL)/(Doses!O26*s_GSFb*s_Fin*s_Fi*s_Fam*s_Foff*Isospec!P27*s_ETiw*(1/24)*s_EFiw*(1/365)),".")</f>
        <v>1.9898760048743716</v>
      </c>
      <c r="H28" s="2">
        <f t="shared" ref="H28:H31" si="65">IFERROR(C28/s_1_bq,".")</f>
        <v>0.21855059755913805</v>
      </c>
      <c r="I28" s="3">
        <f t="shared" ref="I28:I31" si="66">IFERROR(D28/s_1_bq,".")</f>
        <v>4.2199444647910429E-2</v>
      </c>
      <c r="J28" s="3">
        <f t="shared" ref="J28:J31" si="67">IFERROR(E28/s_1_bq,".")</f>
        <v>6.3381191343719237E-2</v>
      </c>
      <c r="K28" s="3">
        <f t="shared" ref="K28:K31" si="68">IFERROR(F28/s_1_bq,".")</f>
        <v>6.285171225332925E-2</v>
      </c>
      <c r="L28" s="5">
        <f t="shared" ref="L28:L31" si="69">IFERROR(G28/s_1_bq,".")</f>
        <v>7.3625412180351818E-2</v>
      </c>
      <c r="M28" s="2">
        <f>IFERROR(C28*Isospec!C27*Isospec!F27*s_SSLgram,".")</f>
        <v>1.8937113939853943E-8</v>
      </c>
      <c r="N28" s="3">
        <f>IFERROR(D28*Isospec!C27*Isospec!F27*s_SSLcm_m,".")</f>
        <v>3.6565248524648842E-12</v>
      </c>
      <c r="O28" s="3">
        <f>IFERROR(E28*Isospec!C27*Isospec!F27*s_SSLgram,".")</f>
        <v>5.4918945796746925E-9</v>
      </c>
      <c r="P28" s="3">
        <f>IFERROR(F28*Isospec!C27*Isospec!F27*s_SSLgram,".")</f>
        <v>5.4460159320046855E-9</v>
      </c>
      <c r="Q28" s="5">
        <f>IFERROR(G28*Isospec!C27*Isospec!F27*s_SSLgram,".")</f>
        <v>6.3795424716272348E-9</v>
      </c>
      <c r="R28" s="62">
        <f t="shared" ref="R28:R31" si="70">IF(D28&lt;&gt;".",D28*2.22*100,".")</f>
        <v>253.19666788746233</v>
      </c>
    </row>
    <row r="29" spans="1:18">
      <c r="A29" s="82" t="s">
        <v>40</v>
      </c>
      <c r="B29" s="85" t="s">
        <v>50</v>
      </c>
      <c r="C29" s="2">
        <f>IFERROR((s_DL)/(Doses!I27*s_GSFb*s_Fin*s_Fi*s_Fam*s_Foff*Isospec!M28*s_ETiw*(1/24)*s_EFiw*(1/365)),".")</f>
        <v>4731.2761305078484</v>
      </c>
      <c r="D29" s="3">
        <f>IFERROR((s_DL)/(Doses!L27*s_GSFb*s_Fin*s_Fi*s_Fam*s_Foff*Isospec!L28*s_ETiw*(1/24)*s_EFiw*(1/365)),".")</f>
        <v>2100.2214125091041</v>
      </c>
      <c r="E29" s="3">
        <f>IFERROR((s_DL)/(Doses!M27*s_GSFb*s_Fin*s_Fi*s_Fam*s_Foff*Isospec!N28*s_ETiw*(1/24)*s_EFiw*(1/365)),".")</f>
        <v>2596.388904847262</v>
      </c>
      <c r="F29" s="3">
        <f>IFERROR((s_DL)/(Doses!N27*s_GSFb*s_Fin*s_Fi*s_Fam*s_Foff*Isospec!O28*s_ETiw*(1/24)*s_EFiw*(1/365)),".")</f>
        <v>3276.6181571977068</v>
      </c>
      <c r="G29" s="5">
        <f>IFERROR((s_DL)/(Doses!O27*s_GSFb*s_Fin*s_Fi*s_Fam*s_Foff*Isospec!P28*s_ETiw*(1/24)*s_EFiw*(1/365)),".")</f>
        <v>3127.5292468325397</v>
      </c>
      <c r="H29" s="2">
        <f t="shared" si="65"/>
        <v>175.05721682879056</v>
      </c>
      <c r="I29" s="3">
        <f t="shared" si="66"/>
        <v>77.708192262836931</v>
      </c>
      <c r="J29" s="3">
        <f t="shared" si="67"/>
        <v>96.066389479348786</v>
      </c>
      <c r="K29" s="3">
        <f t="shared" si="68"/>
        <v>121.23487181631528</v>
      </c>
      <c r="L29" s="5">
        <f t="shared" si="69"/>
        <v>115.71858213280409</v>
      </c>
      <c r="M29" s="2">
        <f>IFERROR(C29*Isospec!C28*Isospec!F28*s_SSLgram,".")</f>
        <v>1.3645000360384634E-5</v>
      </c>
      <c r="N29" s="3">
        <f>IFERROR(D29*Isospec!C28*Isospec!F28*s_SSLcm_m,".")</f>
        <v>6.0570385536762569E-9</v>
      </c>
      <c r="O29" s="3">
        <f>IFERROR(E29*Isospec!C28*Isospec!F28*s_SSLgram,".")</f>
        <v>7.4879856015795034E-6</v>
      </c>
      <c r="P29" s="3">
        <f>IFERROR(F29*Isospec!C28*Isospec!F28*s_SSLgram,".")</f>
        <v>9.4497667653581858E-6</v>
      </c>
      <c r="Q29" s="5">
        <f>IFERROR(G29*Isospec!C28*Isospec!F28*s_SSLgram,".")</f>
        <v>9.0197943478650421E-6</v>
      </c>
      <c r="R29" s="62">
        <f t="shared" si="70"/>
        <v>466249.15357702109</v>
      </c>
    </row>
    <row r="30" spans="1:18">
      <c r="A30" s="82" t="s">
        <v>41</v>
      </c>
      <c r="B30" s="12" t="s">
        <v>50</v>
      </c>
      <c r="C30" s="2">
        <f>IFERROR((s_DL)/(Doses!I28*s_GSFb*s_Fin*s_Fi*s_Fam*s_Foff*Isospec!M29*s_ETiw*(1/24)*s_EFiw*(1/365)),".")</f>
        <v>1.1158057335349794</v>
      </c>
      <c r="D30" s="3">
        <f>IFERROR((s_DL)/(Doses!L28*s_GSFb*s_Fin*s_Fi*s_Fam*s_Foff*Isospec!L29*s_ETiw*(1/24)*s_EFiw*(1/365)),".")</f>
        <v>1.1963554033478441</v>
      </c>
      <c r="E30" s="3">
        <f>IFERROR((s_DL)/(Doses!M28*s_GSFb*s_Fin*s_Fi*s_Fam*s_Foff*Isospec!N29*s_ETiw*(1/24)*s_EFiw*(1/365)),".")</f>
        <v>0.97795840609545026</v>
      </c>
      <c r="F30" s="3">
        <f>IFERROR((s_DL)/(Doses!N28*s_GSFb*s_Fin*s_Fi*s_Fam*s_Foff*Isospec!O29*s_ETiw*(1/24)*s_EFiw*(1/365)),".")</f>
        <v>0.97256508343840564</v>
      </c>
      <c r="G30" s="5">
        <f>IFERROR((s_DL)/(Doses!O28*s_GSFb*s_Fin*s_Fi*s_Fam*s_Foff*Isospec!P29*s_ETiw*(1/24)*s_EFiw*(1/365)),".")</f>
        <v>1.1269846627942126</v>
      </c>
      <c r="H30" s="2">
        <f t="shared" si="65"/>
        <v>4.1284812140794276E-2</v>
      </c>
      <c r="I30" s="3">
        <f t="shared" si="66"/>
        <v>4.4265149923870276E-2</v>
      </c>
      <c r="J30" s="3">
        <f t="shared" si="67"/>
        <v>3.6184461025531696E-2</v>
      </c>
      <c r="K30" s="3">
        <f t="shared" si="68"/>
        <v>3.5984908087221046E-2</v>
      </c>
      <c r="L30" s="5">
        <f t="shared" si="69"/>
        <v>4.1698432523385912E-2</v>
      </c>
      <c r="M30" s="2">
        <f>IFERROR(C30*Isospec!C29*Isospec!F29*s_SSLgram,".")</f>
        <v>3.2648475763233492E-9</v>
      </c>
      <c r="N30" s="3">
        <f>IFERROR(D30*Isospec!C29*Isospec!F29*s_SSLcm_m,".")</f>
        <v>3.5005359101957923E-12</v>
      </c>
      <c r="O30" s="3">
        <f>IFERROR(E30*Isospec!C29*Isospec!F29*s_SSLgram,".")</f>
        <v>2.8615062962352868E-9</v>
      </c>
      <c r="P30" s="3">
        <f>IFERROR(F30*Isospec!C29*Isospec!F29*s_SSLgram,".")</f>
        <v>2.8457254341407747E-9</v>
      </c>
      <c r="Q30" s="5">
        <f>IFERROR(G30*Isospec!C29*Isospec!F29*s_SSLgram,".")</f>
        <v>3.2975571233358659E-9</v>
      </c>
      <c r="R30" s="62">
        <f t="shared" si="70"/>
        <v>265.59089954322144</v>
      </c>
    </row>
    <row r="31" spans="1:18">
      <c r="A31" s="82" t="s">
        <v>42</v>
      </c>
      <c r="B31" s="85" t="s">
        <v>50</v>
      </c>
      <c r="C31" s="2">
        <f>IFERROR((s_DL)/(Doses!I29*s_GSFb*s_Fin*s_Fi*s_Fam*s_Foff*Isospec!M30*s_ETiw*(1/24)*s_EFiw*(1/365)),".")</f>
        <v>0.90107007826873486</v>
      </c>
      <c r="D31" s="3">
        <f>IFERROR((s_DL)/(Doses!L29*s_GSFb*s_Fin*s_Fi*s_Fam*s_Foff*Isospec!L30*s_ETiw*(1/24)*s_EFiw*(1/365)),".")</f>
        <v>1.0942102914824987</v>
      </c>
      <c r="E31" s="3">
        <f>IFERROR((s_DL)/(Doses!M29*s_GSFb*s_Fin*s_Fi*s_Fam*s_Foff*Isospec!N30*s_ETiw*(1/24)*s_EFiw*(1/365)),".")</f>
        <v>0.91863883398982915</v>
      </c>
      <c r="F31" s="3">
        <f>IFERROR((s_DL)/(Doses!N29*s_GSFb*s_Fin*s_Fi*s_Fam*s_Foff*Isospec!O30*s_ETiw*(1/24)*s_EFiw*(1/365)),".")</f>
        <v>0.90293072462983681</v>
      </c>
      <c r="G31" s="5">
        <f>IFERROR((s_DL)/(Doses!O29*s_GSFb*s_Fin*s_Fi*s_Fam*s_Foff*Isospec!P30*s_ETiw*(1/24)*s_EFiw*(1/365)),".")</f>
        <v>1.0559764276801133</v>
      </c>
      <c r="H31" s="2">
        <f t="shared" si="65"/>
        <v>3.3339592895943224E-2</v>
      </c>
      <c r="I31" s="3">
        <f t="shared" si="66"/>
        <v>4.0485780784852494E-2</v>
      </c>
      <c r="J31" s="3">
        <f t="shared" si="67"/>
        <v>3.3989636857623712E-2</v>
      </c>
      <c r="K31" s="3">
        <f t="shared" si="68"/>
        <v>3.3408436811303996E-2</v>
      </c>
      <c r="L31" s="5">
        <f t="shared" si="69"/>
        <v>3.9071127824164234E-2</v>
      </c>
      <c r="M31" s="2">
        <f>IFERROR(C31*Isospec!C30*Isospec!F30*s_SSLgram,".")</f>
        <v>2.6491460301100799E-9</v>
      </c>
      <c r="N31" s="3">
        <f>IFERROR(D31*Isospec!C30*Isospec!F30*s_SSLcm_m,".")</f>
        <v>3.2169782569585463E-12</v>
      </c>
      <c r="O31" s="3">
        <f>IFERROR(E31*Isospec!C30*Isospec!F30*s_SSLgram,".")</f>
        <v>2.7007981719300977E-9</v>
      </c>
      <c r="P31" s="3">
        <f>IFERROR(F31*Isospec!C30*Isospec!F30*s_SSLgram,".")</f>
        <v>2.6546163304117197E-9</v>
      </c>
      <c r="Q31" s="5">
        <f>IFERROR(G31*Isospec!C30*Isospec!F30*s_SSLgram,".")</f>
        <v>3.1045706973795327E-9</v>
      </c>
      <c r="R31" s="62">
        <f t="shared" si="70"/>
        <v>242.91468470911474</v>
      </c>
    </row>
    <row r="32" spans="1:18">
      <c r="A32" s="82" t="s">
        <v>25</v>
      </c>
      <c r="B32" s="12" t="s">
        <v>50</v>
      </c>
      <c r="C32" s="2">
        <f>IFERROR((s_DL)/(Doses!I30*s_GSFb*s_Fin*s_Fi*s_Fam*s_Foff*Isospec!M31*s_ETiw*(1/24)*s_EFiw*(1/365)),".")</f>
        <v>6.363312723320468</v>
      </c>
      <c r="D32" s="3">
        <f>IFERROR((s_DL)/(Doses!L30*s_GSFb*s_Fin*s_Fi*s_Fam*s_Foff*Isospec!L31*s_ETiw*(1/24)*s_EFiw*(1/365)),".")</f>
        <v>21.98951315814973</v>
      </c>
      <c r="E32" s="3">
        <f>IFERROR((s_DL)/(Doses!M30*s_GSFb*s_Fin*s_Fi*s_Fam*s_Foff*Isospec!N31*s_ETiw*(1/24)*s_EFiw*(1/365)),".")</f>
        <v>45.055145306426802</v>
      </c>
      <c r="F32" s="3">
        <f>IFERROR((s_DL)/(Doses!N30*s_GSFb*s_Fin*s_Fi*s_Fam*s_Foff*Isospec!O31*s_ETiw*(1/24)*s_EFiw*(1/365)),".")</f>
        <v>37.018562293025902</v>
      </c>
      <c r="G32" s="5">
        <f>IFERROR((s_DL)/(Doses!O30*s_GSFb*s_Fin*s_Fi*s_Fam*s_Foff*Isospec!P31*s_ETiw*(1/24)*s_EFiw*(1/365)),".")</f>
        <v>46.810626818348425</v>
      </c>
      <c r="H32" s="2">
        <f t="shared" ref="H32" si="71">IFERROR(C32/s_1_bq,".")</f>
        <v>0.23544257076285754</v>
      </c>
      <c r="I32" s="3">
        <f t="shared" ref="I32" si="72">IFERROR(D32/s_1_bq,".")</f>
        <v>0.81361198685154079</v>
      </c>
      <c r="J32" s="3">
        <f t="shared" ref="J32" si="73">IFERROR(E32/s_1_bq,".")</f>
        <v>1.6670403763377935</v>
      </c>
      <c r="K32" s="3">
        <f t="shared" ref="K32" si="74">IFERROR(F32/s_1_bq,".")</f>
        <v>1.3696868048419597</v>
      </c>
      <c r="L32" s="5">
        <f t="shared" ref="L32" si="75">IFERROR(G32/s_1_bq,".")</f>
        <v>1.7319931922788934</v>
      </c>
      <c r="M32" s="2">
        <f>IFERROR(C32*Isospec!C31*Isospec!F31*s_SSLgram,".")</f>
        <v>2.0757126103471367E-8</v>
      </c>
      <c r="N32" s="3">
        <f>IFERROR(D32*Isospec!C31*Isospec!F31*s_SSLcm_m,".")</f>
        <v>7.1729791921884427E-11</v>
      </c>
      <c r="O32" s="3">
        <f>IFERROR(E32*Isospec!C31*Isospec!F31*s_SSLgram,".")</f>
        <v>1.4696988398956421E-7</v>
      </c>
      <c r="P32" s="3">
        <f>IFERROR(F32*Isospec!C31*Isospec!F31*s_SSLgram,".")</f>
        <v>1.2075455019985047E-7</v>
      </c>
      <c r="Q32" s="5">
        <f>IFERROR(G32*Isospec!C31*Isospec!F31*s_SSLgram,".")</f>
        <v>1.5269626468145255E-7</v>
      </c>
      <c r="R32" s="62">
        <f t="shared" ref="R32" si="76">IF(D32&lt;&gt;".",D32*2.22*100,".")</f>
        <v>4881.6719211092404</v>
      </c>
    </row>
    <row r="33" spans="1:18">
      <c r="A33" s="30" t="s">
        <v>14</v>
      </c>
      <c r="B33" s="30" t="s">
        <v>50</v>
      </c>
      <c r="C33" s="71">
        <f>IFERROR(1/SUM(1/C34,1/C35,1/C36,1/C37,1/C38,1/C39,1/C40,1/C41,1/C42,1/C43,1/C44,1/C45),0)</f>
        <v>0.72278425046070494</v>
      </c>
      <c r="D33" s="72">
        <f t="shared" ref="D33:G33" si="77">IFERROR(1/SUM(1/D34,1/D35,1/D36,1/D37,1/D38,1/D39,1/D40,1/D41,1/D42,1/D43,1/D44,1/D45),0)</f>
        <v>0.34714712575149465</v>
      </c>
      <c r="E33" s="72">
        <f t="shared" si="77"/>
        <v>0.47091717122545212</v>
      </c>
      <c r="F33" s="72">
        <f t="shared" si="77"/>
        <v>0.45379368646882223</v>
      </c>
      <c r="G33" s="72">
        <f t="shared" si="77"/>
        <v>0.55637793885849496</v>
      </c>
      <c r="H33" s="71">
        <f>IFERROR(1/SUM(1/H34,1/H35,1/H36,1/H37,1/H38,1/H39,1/H40,1/H41,1/H42,1/H43,1/H44,1/H45),0)</f>
        <v>2.6743017267046101E-2</v>
      </c>
      <c r="I33" s="72">
        <f t="shared" ref="I33:L33" si="78">IFERROR(1/SUM(1/I34,1/I35,1/I36,1/I37,1/I38,1/I39,1/I40,1/I41,1/I42,1/I43,1/I44,1/I45),0)</f>
        <v>1.2844443652805316E-2</v>
      </c>
      <c r="J33" s="72">
        <f t="shared" si="78"/>
        <v>1.7423935335341745E-2</v>
      </c>
      <c r="K33" s="72">
        <f t="shared" si="78"/>
        <v>1.6790366399346446E-2</v>
      </c>
      <c r="L33" s="72">
        <f t="shared" si="78"/>
        <v>2.0585983737764334E-2</v>
      </c>
      <c r="M33" s="20">
        <f>IFERROR(C33*VLOOKUP("Am-241",Isospec!$A$3:$R$31,3)*VLOOKUP("Am-241",Isospec!$A$3:$R$31,6)*s_SSLgram,".")</f>
        <v>2.4386740610544184E-9</v>
      </c>
      <c r="N33" s="19">
        <f>IFERROR(D33*VLOOKUP("Am-241",Isospec!$A$3:$R$31,3)*VLOOKUP("Am-241",Isospec!$A$3:$R$31,6)*s_SSLcm_m,".")</f>
        <v>1.1712744022855429E-12</v>
      </c>
      <c r="O33" s="19">
        <f>IFERROR(E33*VLOOKUP("Am-241",Isospec!$A$3:$R$31,3)*VLOOKUP("Am-241",Isospec!$A$3:$R$31,6)*s_SSLgram,".")</f>
        <v>1.5888745357146753E-9</v>
      </c>
      <c r="P33" s="19">
        <f>IFERROR(F33*VLOOKUP("Am-241",Isospec!$A$3:$R$31,3)*VLOOKUP("Am-241",Isospec!$A$3:$R$31,6)*s_SSLgram,".")</f>
        <v>1.5310998981458062E-9</v>
      </c>
      <c r="Q33" s="21">
        <f>IFERROR(G33*VLOOKUP("Am-241",Isospec!$A$3:$R$31,3)*VLOOKUP("Am-241",Isospec!$A$3:$R$31,6)*s_SSLgram,".")</f>
        <v>1.8772191657085618E-9</v>
      </c>
      <c r="R33" s="89">
        <f t="shared" ref="R33:R63" si="79">IF(D33&lt;&gt;".",D33*2.22*100,".")</f>
        <v>77.066661916831819</v>
      </c>
    </row>
    <row r="34" spans="1:18">
      <c r="A34" s="31" t="s">
        <v>137</v>
      </c>
      <c r="B34" s="32">
        <v>1</v>
      </c>
      <c r="C34" s="65">
        <f>IFERROR(VLOOKUP("Am-241",$A$4:$L$32,3)/$B34,0)</f>
        <v>8.5008442566088025</v>
      </c>
      <c r="D34" s="66">
        <f>IFERROR(VLOOKUP("Am-241",$A$4:$L$32,4)/$B34,0)</f>
        <v>3.7445713783656518</v>
      </c>
      <c r="E34" s="66">
        <f>IFERROR(VLOOKUP("Am-241",$A$4:$L$32,5)/$B34,0)</f>
        <v>3.6355993222633889</v>
      </c>
      <c r="F34" s="66">
        <f>IFERROR(VLOOKUP("Am-241",$A$4:$L$32,6)/$B34,0)</f>
        <v>4.0348818918838365</v>
      </c>
      <c r="G34" s="66">
        <f>IFERROR(VLOOKUP("Am-241",$A$4:$L$32,7)/$B34,0)</f>
        <v>6.2899897094991069</v>
      </c>
      <c r="H34" s="65">
        <f>IFERROR(VLOOKUP("Am-241",$A$4:$L$32,8)/$B34,0)</f>
        <v>0.31453123749452599</v>
      </c>
      <c r="I34" s="66">
        <f>IFERROR(VLOOKUP("Am-241",$A$4:$L$32,9)/$B34,0)</f>
        <v>0.13854914099952925</v>
      </c>
      <c r="J34" s="66">
        <f>IFERROR(VLOOKUP("Am-241",$A$4:$L$32,10)/$B34,0)</f>
        <v>0.13451717492374551</v>
      </c>
      <c r="K34" s="66">
        <f>IFERROR(VLOOKUP("Am-241",$A$4:$L$32,11)/$B34,0)</f>
        <v>0.14929062999970211</v>
      </c>
      <c r="L34" s="66">
        <f>IFERROR(VLOOKUP("Am-241",$A$4:$L$32,12)/$B34,0)</f>
        <v>0.23272961925146718</v>
      </c>
      <c r="M34" s="65">
        <f>IFERROR(VLOOKUP("Am-241",$A$4:$R$32,13)/$B34,0)</f>
        <v>2.8681848521798093E-8</v>
      </c>
      <c r="N34" s="66">
        <f>IFERROR(VLOOKUP("Am-241",$A$4:$R$32,14)/$B34,0)</f>
        <v>1.2634183830605708E-11</v>
      </c>
      <c r="O34" s="66">
        <f>IFERROR(VLOOKUP("Am-241",$A$4:$R$32,15)/$B34,0)</f>
        <v>1.2266512113316673E-8</v>
      </c>
      <c r="P34" s="66">
        <f>IFERROR(VLOOKUP("Am-241",$A$4:$R$32,16)/$B34,0)</f>
        <v>1.3613691503216061E-8</v>
      </c>
      <c r="Q34" s="66">
        <f>IFERROR(VLOOKUP("Am-241",$A$4:$R$32,17)/$B34,0)</f>
        <v>2.1222425279849984E-8</v>
      </c>
      <c r="R34" s="90">
        <f t="shared" si="79"/>
        <v>831.29484599717478</v>
      </c>
    </row>
    <row r="35" spans="1:18">
      <c r="A35" s="31" t="s">
        <v>138</v>
      </c>
      <c r="B35" s="32">
        <v>1</v>
      </c>
      <c r="C35" s="65">
        <f>IFERROR(VLOOKUP("Np-237",$A$4:$L$32,3)/$B35,0)</f>
        <v>6.6718715261961634</v>
      </c>
      <c r="D35" s="66">
        <f>IFERROR(VLOOKUP("Np-237",$A$4:$L$32,4)/$B35,0)</f>
        <v>1.9815083675313372</v>
      </c>
      <c r="E35" s="66">
        <f>IFERROR(VLOOKUP("Np-237",$A$4:$L$32,5)/$B35,0)</f>
        <v>3.3923498818520801</v>
      </c>
      <c r="F35" s="66">
        <f>IFERROR(VLOOKUP("Np-237",$A$4:$L$32,6)/$B35,0)</f>
        <v>2.9959020639678378</v>
      </c>
      <c r="G35" s="66">
        <f>IFERROR(VLOOKUP("Np-237",$A$4:$L$32,7)/$B35,0)</f>
        <v>3.5323691159283297</v>
      </c>
      <c r="H35" s="65">
        <f>IFERROR(VLOOKUP("Np-237",$A$4:$L$32,8)/$B35,0)</f>
        <v>0.2468592464692583</v>
      </c>
      <c r="I35" s="66">
        <f>IFERROR(VLOOKUP("Np-237",$A$4:$L$32,9)/$B35,0)</f>
        <v>7.3315809598659548E-2</v>
      </c>
      <c r="J35" s="66">
        <f>IFERROR(VLOOKUP("Np-237",$A$4:$L$32,10)/$B35,0)</f>
        <v>0.12551694562852708</v>
      </c>
      <c r="K35" s="66">
        <f>IFERROR(VLOOKUP("Np-237",$A$4:$L$32,11)/$B35,0)</f>
        <v>0.11084837636681011</v>
      </c>
      <c r="L35" s="66">
        <f>IFERROR(VLOOKUP("Np-237",$A$4:$L$32,12)/$B35,0)</f>
        <v>0.13069765728934832</v>
      </c>
      <c r="M35" s="65">
        <f>IFERROR(VLOOKUP("Np-237",$A$4:$R$32,13)/$B35,0)</f>
        <v>2.213726972391887E-8</v>
      </c>
      <c r="N35" s="66">
        <f>IFERROR(VLOOKUP("Np-237",$A$4:$R$32,14)/$B35,0)</f>
        <v>6.5746447634689761E-12</v>
      </c>
      <c r="O35" s="66">
        <f>IFERROR(VLOOKUP("Np-237",$A$4:$R$32,15)/$B35,0)</f>
        <v>1.1255816907985201E-8</v>
      </c>
      <c r="P35" s="66">
        <f>IFERROR(VLOOKUP("Np-237",$A$4:$R$32,16)/$B35,0)</f>
        <v>9.9404030482452838E-9</v>
      </c>
      <c r="Q35" s="66">
        <f>IFERROR(VLOOKUP("Np-237",$A$4:$R$32,17)/$B35,0)</f>
        <v>1.1720400726650196E-8</v>
      </c>
      <c r="R35" s="90">
        <f t="shared" si="79"/>
        <v>439.89485759195691</v>
      </c>
    </row>
    <row r="36" spans="1:18">
      <c r="A36" s="31" t="s">
        <v>139</v>
      </c>
      <c r="B36" s="32">
        <v>1</v>
      </c>
      <c r="C36" s="65">
        <f>IFERROR(VLOOKUP("Pa-233",$A$4:$L$32,3)/$B36,0)</f>
        <v>2.8289824613776413</v>
      </c>
      <c r="D36" s="66">
        <f>IFERROR(VLOOKUP("Pa-233",$A$4:$L$32,4)/$B36,0)</f>
        <v>1.551213611615522</v>
      </c>
      <c r="E36" s="66">
        <f>IFERROR(VLOOKUP("Pa-233",$A$4:$L$32,5)/$B36,0)</f>
        <v>1.9078142716526487</v>
      </c>
      <c r="F36" s="66">
        <f>IFERROR(VLOOKUP("Pa-233",$A$4:$L$32,6)/$B36,0)</f>
        <v>1.765015031402499</v>
      </c>
      <c r="G36" s="66">
        <f>IFERROR(VLOOKUP("Pa-233",$A$4:$L$32,7)/$B36,0)</f>
        <v>2.2205747204176562</v>
      </c>
      <c r="H36" s="65">
        <f>IFERROR(VLOOKUP("Pa-233",$A$4:$L$32,8)/$B36,0)</f>
        <v>0.10467235107097284</v>
      </c>
      <c r="I36" s="66">
        <f>IFERROR(VLOOKUP("Pa-233",$A$4:$L$32,9)/$B36,0)</f>
        <v>5.7394903629774369E-2</v>
      </c>
      <c r="J36" s="66">
        <f>IFERROR(VLOOKUP("Pa-233",$A$4:$L$32,10)/$B36,0)</f>
        <v>7.0589128051148073E-2</v>
      </c>
      <c r="K36" s="66">
        <f>IFERROR(VLOOKUP("Pa-233",$A$4:$L$32,11)/$B36,0)</f>
        <v>6.5305556161892528E-2</v>
      </c>
      <c r="L36" s="66">
        <f>IFERROR(VLOOKUP("Pa-233",$A$4:$L$32,12)/$B36,0)</f>
        <v>8.216126465545337E-2</v>
      </c>
      <c r="M36" s="65">
        <f>IFERROR(VLOOKUP("Pa-233",$A$4:$R$32,13)/$B36,0)</f>
        <v>9.2281407890138654E-9</v>
      </c>
      <c r="N36" s="66">
        <f>IFERROR(VLOOKUP("Pa-233",$A$4:$R$32,14)/$B36,0)</f>
        <v>5.0600588010898329E-12</v>
      </c>
      <c r="O36" s="66">
        <f>IFERROR(VLOOKUP("Pa-233",$A$4:$R$32,15)/$B36,0)</f>
        <v>6.2232901541309395E-9</v>
      </c>
      <c r="P36" s="66">
        <f>IFERROR(VLOOKUP("Pa-233",$A$4:$R$32,16)/$B36,0)</f>
        <v>5.7574790324349516E-9</v>
      </c>
      <c r="Q36" s="66">
        <f>IFERROR(VLOOKUP("Pa-233",$A$4:$R$32,17)/$B36,0)</f>
        <v>7.2435147380023939E-9</v>
      </c>
      <c r="R36" s="90">
        <f t="shared" si="79"/>
        <v>344.36942177864591</v>
      </c>
    </row>
    <row r="37" spans="1:18">
      <c r="A37" s="31" t="s">
        <v>140</v>
      </c>
      <c r="B37" s="32">
        <v>1</v>
      </c>
      <c r="C37" s="65">
        <f>IFERROR(VLOOKUP("U-233",$A$4:$L$32,3)/$B37,0)</f>
        <v>6.363312723320468</v>
      </c>
      <c r="D37" s="66">
        <f>IFERROR(VLOOKUP("U-233",$A$4:$L$32,4)/$B37,0)</f>
        <v>21.98951315814973</v>
      </c>
      <c r="E37" s="66">
        <f>IFERROR(VLOOKUP("U-233",$A$4:$L$32,5)/$B37,0)</f>
        <v>45.055145306426802</v>
      </c>
      <c r="F37" s="66">
        <f>IFERROR(VLOOKUP("U-233",$A$4:$L$32,6)/$B37,0)</f>
        <v>37.018562293025902</v>
      </c>
      <c r="G37" s="66">
        <f>IFERROR(VLOOKUP("U-233",$A$4:$L$32,7)/$B37,0)</f>
        <v>46.810626818348425</v>
      </c>
      <c r="H37" s="65">
        <f>IFERROR(VLOOKUP("U-233",$A$4:$L$32,8)/$B37,0)</f>
        <v>0.23544257076285754</v>
      </c>
      <c r="I37" s="66">
        <f>IFERROR(VLOOKUP("U-233",$A$4:$L$32,9)/$B37,0)</f>
        <v>0.81361198685154079</v>
      </c>
      <c r="J37" s="66">
        <f>IFERROR(VLOOKUP("U-233",$A$4:$L$32,10)/$B37,0)</f>
        <v>1.6670403763377935</v>
      </c>
      <c r="K37" s="66">
        <f>IFERROR(VLOOKUP("U-233",$A$4:$L$32,11)/$B37,0)</f>
        <v>1.3696868048419597</v>
      </c>
      <c r="L37" s="66">
        <f>IFERROR(VLOOKUP("U-233",$A$4:$L$32,12)/$B37,0)</f>
        <v>1.7319931922788934</v>
      </c>
      <c r="M37" s="65">
        <f>IFERROR(VLOOKUP("U-233",$A$4:$R$32,13)/$B37,0)</f>
        <v>2.0757126103471367E-8</v>
      </c>
      <c r="N37" s="66">
        <f>IFERROR(VLOOKUP("U-233",$A$4:$R$32,14)/$B37,0)</f>
        <v>7.1729791921884427E-11</v>
      </c>
      <c r="O37" s="66">
        <f>IFERROR(VLOOKUP("U-233",$A$4:$R$32,15)/$B37,0)</f>
        <v>1.4696988398956421E-7</v>
      </c>
      <c r="P37" s="66">
        <f>IFERROR(VLOOKUP("U-233",$A$4:$R$32,16)/$B37,0)</f>
        <v>1.2075455019985047E-7</v>
      </c>
      <c r="Q37" s="66">
        <f>IFERROR(VLOOKUP("U-233",$A$4:$R$32,17)/$B37,0)</f>
        <v>1.5269626468145255E-7</v>
      </c>
      <c r="R37" s="90">
        <f t="shared" si="79"/>
        <v>4881.6719211092404</v>
      </c>
    </row>
    <row r="38" spans="1:18">
      <c r="A38" s="31" t="s">
        <v>141</v>
      </c>
      <c r="B38" s="32">
        <v>1</v>
      </c>
      <c r="C38" s="65">
        <f>IFERROR(VLOOKUP("Th-229",$A$4:$L$32,3)/$B38,0)</f>
        <v>5.9067729070037256</v>
      </c>
      <c r="D38" s="66">
        <f>IFERROR(VLOOKUP("Th-229",$A$4:$L$32,4)/$B38,0)</f>
        <v>1.140525531024605</v>
      </c>
      <c r="E38" s="66">
        <f>IFERROR(VLOOKUP("Th-229",$A$4:$L$32,5)/$B38,0)</f>
        <v>1.7130051714518695</v>
      </c>
      <c r="F38" s="66">
        <f>IFERROR(VLOOKUP("Th-229",$A$4:$L$32,6)/$B38,0)</f>
        <v>1.6986949257656536</v>
      </c>
      <c r="G38" s="66">
        <f>IFERROR(VLOOKUP("Th-229",$A$4:$L$32,7)/$B38,0)</f>
        <v>1.9898760048743716</v>
      </c>
      <c r="H38" s="65">
        <f>IFERROR(VLOOKUP("Th-229",$A$4:$L$32,8)/$B38,0)</f>
        <v>0.21855059755913805</v>
      </c>
      <c r="I38" s="66">
        <f>IFERROR(VLOOKUP("Th-229",$A$4:$L$32,9)/$B38,0)</f>
        <v>4.2199444647910429E-2</v>
      </c>
      <c r="J38" s="66">
        <f>IFERROR(VLOOKUP("Th-229",$A$4:$L$32,10)/$B38,0)</f>
        <v>6.3381191343719237E-2</v>
      </c>
      <c r="K38" s="66">
        <f>IFERROR(VLOOKUP("Th-229",$A$4:$L$32,11)/$B38,0)</f>
        <v>6.285171225332925E-2</v>
      </c>
      <c r="L38" s="66">
        <f>IFERROR(VLOOKUP("Th-229",$A$4:$L$32,12)/$B38,0)</f>
        <v>7.3625412180351818E-2</v>
      </c>
      <c r="M38" s="65">
        <f>IFERROR(VLOOKUP("Th-229",$A$4:$R$32,13)/$B38,0)</f>
        <v>1.8937113939853943E-8</v>
      </c>
      <c r="N38" s="66">
        <f>IFERROR(VLOOKUP("Th-229",$A$4:$R$32,14)/$B38,0)</f>
        <v>3.6565248524648842E-12</v>
      </c>
      <c r="O38" s="66">
        <f>IFERROR(VLOOKUP("Th-229",$A$4:$R$32,15)/$B38,0)</f>
        <v>5.4918945796746925E-9</v>
      </c>
      <c r="P38" s="66">
        <f>IFERROR(VLOOKUP("Th-229",$A$4:$R$32,16)/$B38,0)</f>
        <v>5.4460159320046855E-9</v>
      </c>
      <c r="Q38" s="66">
        <f>IFERROR(VLOOKUP("Th-229",$A$4:$R$32,17)/$B38,0)</f>
        <v>6.3795424716272348E-9</v>
      </c>
      <c r="R38" s="90">
        <f t="shared" si="79"/>
        <v>253.19666788746233</v>
      </c>
    </row>
    <row r="39" spans="1:18">
      <c r="A39" s="31" t="s">
        <v>142</v>
      </c>
      <c r="B39" s="32">
        <v>1</v>
      </c>
      <c r="C39" s="65">
        <f>IFERROR(VLOOKUP("Ra-225",$A$4:$L$32,3)/$B39,0)</f>
        <v>4.8168791264894208</v>
      </c>
      <c r="D39" s="66">
        <f>IFERROR(VLOOKUP("Ra-225",$A$4:$L$32,4)/$B39,0)</f>
        <v>5.4119816675032073</v>
      </c>
      <c r="E39" s="66">
        <f>IFERROR(VLOOKUP("Ra-225",$A$4:$L$32,5)/$B39,0)</f>
        <v>8.5911847846932758</v>
      </c>
      <c r="F39" s="66">
        <f>IFERROR(VLOOKUP("Ra-225",$A$4:$L$32,6)/$B39,0)</f>
        <v>8.1431138406299493</v>
      </c>
      <c r="G39" s="66">
        <f>IFERROR(VLOOKUP("Ra-225",$A$4:$L$32,7)/$B39,0)</f>
        <v>8.9773778328692799</v>
      </c>
      <c r="H39" s="65">
        <f>IFERROR(VLOOKUP("Ra-225",$A$4:$L$32,8)/$B39,0)</f>
        <v>0.17822452768010874</v>
      </c>
      <c r="I39" s="66">
        <f>IFERROR(VLOOKUP("Ra-225",$A$4:$L$32,9)/$B39,0)</f>
        <v>0.20024332169761888</v>
      </c>
      <c r="J39" s="66">
        <f>IFERROR(VLOOKUP("Ra-225",$A$4:$L$32,10)/$B39,0)</f>
        <v>0.31787383703365152</v>
      </c>
      <c r="K39" s="66">
        <f>IFERROR(VLOOKUP("Ra-225",$A$4:$L$32,11)/$B39,0)</f>
        <v>0.30129521210330845</v>
      </c>
      <c r="L39" s="66">
        <f>IFERROR(VLOOKUP("Ra-225",$A$4:$L$32,12)/$B39,0)</f>
        <v>0.33216297981616372</v>
      </c>
      <c r="M39" s="65">
        <f>IFERROR(VLOOKUP("Ra-225",$A$4:$R$32,13)/$B39,0)</f>
        <v>1.5173169248441676E-8</v>
      </c>
      <c r="N39" s="66">
        <f>IFERROR(VLOOKUP("Ra-225",$A$4:$R$32,14)/$B39,0)</f>
        <v>1.7047742252635102E-11</v>
      </c>
      <c r="O39" s="66">
        <f>IFERROR(VLOOKUP("Ra-225",$A$4:$R$32,15)/$B39,0)</f>
        <v>2.7062232071783818E-8</v>
      </c>
      <c r="P39" s="66">
        <f>IFERROR(VLOOKUP("Ra-225",$A$4:$R$32,16)/$B39,0)</f>
        <v>2.5650808597984341E-8</v>
      </c>
      <c r="Q39" s="66">
        <f>IFERROR(VLOOKUP("Ra-225",$A$4:$R$32,17)/$B39,0)</f>
        <v>2.8278740173538229E-8</v>
      </c>
      <c r="R39" s="90">
        <f t="shared" si="79"/>
        <v>1201.4599301857122</v>
      </c>
    </row>
    <row r="40" spans="1:18">
      <c r="A40" s="31" t="s">
        <v>143</v>
      </c>
      <c r="B40" s="32">
        <v>1</v>
      </c>
      <c r="C40" s="65">
        <f>IFERROR(VLOOKUP("Ac-225",$A$4:$L$32,3)/$B40,0)</f>
        <v>16.616801267957438</v>
      </c>
      <c r="D40" s="66">
        <f>IFERROR(VLOOKUP("Ac-225",$A$4:$L$32,4)/$B40,0)</f>
        <v>5.2719305462904957</v>
      </c>
      <c r="E40" s="66">
        <f>IFERROR(VLOOKUP("Ac-225",$A$4:$L$32,5)/$B40,0)</f>
        <v>8.7629080586280299</v>
      </c>
      <c r="F40" s="66">
        <f>IFERROR(VLOOKUP("Ac-225",$A$4:$L$32,6)/$B40,0)</f>
        <v>8.3650245008028037</v>
      </c>
      <c r="G40" s="66">
        <f>IFERROR(VLOOKUP("Ac-225",$A$4:$L$32,7)/$B40,0)</f>
        <v>9.9040659912175801</v>
      </c>
      <c r="H40" s="65">
        <f>IFERROR(VLOOKUP("Ac-225",$A$4:$L$32,8)/$B40,0)</f>
        <v>0.61482164691442587</v>
      </c>
      <c r="I40" s="66">
        <f>IFERROR(VLOOKUP("Ac-225",$A$4:$L$32,9)/$B40,0)</f>
        <v>0.19506143021274855</v>
      </c>
      <c r="J40" s="66">
        <f>IFERROR(VLOOKUP("Ac-225",$A$4:$L$32,10)/$B40,0)</f>
        <v>0.32422759816923741</v>
      </c>
      <c r="K40" s="66">
        <f>IFERROR(VLOOKUP("Ac-225",$A$4:$L$32,11)/$B40,0)</f>
        <v>0.30950590652970406</v>
      </c>
      <c r="L40" s="66">
        <f>IFERROR(VLOOKUP("Ac-225",$A$4:$L$32,12)/$B40,0)</f>
        <v>0.36645044167505081</v>
      </c>
      <c r="M40" s="65">
        <f>IFERROR(VLOOKUP("Ac-225",$A$4:$R$32,13)/$B40,0)</f>
        <v>5.2342923994065922E-8</v>
      </c>
      <c r="N40" s="66">
        <f>IFERROR(VLOOKUP("Ac-225",$A$4:$R$32,14)/$B40,0)</f>
        <v>1.6606581220815062E-11</v>
      </c>
      <c r="O40" s="66">
        <f>IFERROR(VLOOKUP("Ac-225",$A$4:$R$32,15)/$B40,0)</f>
        <v>2.760316038467829E-8</v>
      </c>
      <c r="P40" s="66">
        <f>IFERROR(VLOOKUP("Ac-225",$A$4:$R$32,16)/$B40,0)</f>
        <v>2.6349827177528834E-8</v>
      </c>
      <c r="Q40" s="66">
        <f>IFERROR(VLOOKUP("Ac-225",$A$4:$R$32,17)/$B40,0)</f>
        <v>3.119780787233537E-8</v>
      </c>
      <c r="R40" s="90">
        <f t="shared" si="79"/>
        <v>1170.36858127649</v>
      </c>
    </row>
    <row r="41" spans="1:18">
      <c r="A41" s="31" t="s">
        <v>144</v>
      </c>
      <c r="B41" s="32">
        <v>1</v>
      </c>
      <c r="C41" s="65">
        <f>IFERROR(VLOOKUP("Fr-221",$A$4:$L$32,3)/$B41,0)</f>
        <v>22.108469774340534</v>
      </c>
      <c r="D41" s="66">
        <f>IFERROR(VLOOKUP("Fr-221",$A$4:$L$32,4)/$B41,0)</f>
        <v>16.940267291331768</v>
      </c>
      <c r="E41" s="66">
        <f>IFERROR(VLOOKUP("Fr-221",$A$4:$L$32,5)/$B41,0)</f>
        <v>15.516220183024295</v>
      </c>
      <c r="F41" s="66">
        <f>IFERROR(VLOOKUP("Fr-221",$A$4:$L$32,6)/$B41,0)</f>
        <v>16.676009893437307</v>
      </c>
      <c r="G41" s="66">
        <f>IFERROR(VLOOKUP("Fr-221",$A$4:$L$32,7)/$B41,0)</f>
        <v>20.326597659980525</v>
      </c>
      <c r="H41" s="65">
        <f>IFERROR(VLOOKUP("Fr-221",$A$4:$L$32,8)/$B41,0)</f>
        <v>0.81801338165060056</v>
      </c>
      <c r="I41" s="66">
        <f>IFERROR(VLOOKUP("Fr-221",$A$4:$L$32,9)/$B41,0)</f>
        <v>0.62678988977927608</v>
      </c>
      <c r="J41" s="66">
        <f>IFERROR(VLOOKUP("Fr-221",$A$4:$L$32,10)/$B41,0)</f>
        <v>0.57410014677189947</v>
      </c>
      <c r="K41" s="66">
        <f>IFERROR(VLOOKUP("Fr-221",$A$4:$L$32,11)/$B41,0)</f>
        <v>0.61701236605718102</v>
      </c>
      <c r="L41" s="66">
        <f>IFERROR(VLOOKUP("Fr-221",$A$4:$L$32,12)/$B41,0)</f>
        <v>0.75208411341928016</v>
      </c>
      <c r="M41" s="65">
        <f>IFERROR(VLOOKUP("Fr-221",$A$4:$R$32,13)/$B41,0)</f>
        <v>6.8403605481809617E-8</v>
      </c>
      <c r="N41" s="66">
        <f>IFERROR(VLOOKUP("Fr-221",$A$4:$R$32,14)/$B41,0)</f>
        <v>5.2413186999380488E-11</v>
      </c>
      <c r="O41" s="66">
        <f>IFERROR(VLOOKUP("Fr-221",$A$4:$R$32,15)/$B41,0)</f>
        <v>4.8007185246277169E-8</v>
      </c>
      <c r="P41" s="66">
        <f>IFERROR(VLOOKUP("Fr-221",$A$4:$R$32,16)/$B41,0)</f>
        <v>5.1595574610295025E-8</v>
      </c>
      <c r="Q41" s="66">
        <f>IFERROR(VLOOKUP("Fr-221",$A$4:$R$32,17)/$B41,0)</f>
        <v>6.2890493159979739E-8</v>
      </c>
      <c r="R41" s="90">
        <f t="shared" si="79"/>
        <v>3760.7393386756526</v>
      </c>
    </row>
    <row r="42" spans="1:18">
      <c r="A42" s="31" t="s">
        <v>145</v>
      </c>
      <c r="B42" s="32">
        <v>1</v>
      </c>
      <c r="C42" s="65">
        <f>IFERROR(VLOOKUP("At-217",$A$4:$L$32,3)/$B42,0)</f>
        <v>3138.5068307265383</v>
      </c>
      <c r="D42" s="66">
        <f>IFERROR(VLOOKUP("At-217",$A$4:$L$32,4)/$B42,0)</f>
        <v>2683.9074597879744</v>
      </c>
      <c r="E42" s="66">
        <f>IFERROR(VLOOKUP("At-217",$A$4:$L$32,5)/$B42,0)</f>
        <v>2538.77719819499</v>
      </c>
      <c r="F42" s="66">
        <f>IFERROR(VLOOKUP("At-217",$A$4:$L$32,6)/$B42,0)</f>
        <v>2661.2527579789758</v>
      </c>
      <c r="G42" s="66">
        <f>IFERROR(VLOOKUP("At-217",$A$4:$L$32,7)/$B42,0)</f>
        <v>2970.1463681724081</v>
      </c>
      <c r="H42" s="65">
        <f>IFERROR(VLOOKUP("At-217",$A$4:$L$32,8)/$B42,0)</f>
        <v>116.12475273688203</v>
      </c>
      <c r="I42" s="66">
        <f>IFERROR(VLOOKUP("At-217",$A$4:$L$32,9)/$B42,0)</f>
        <v>99.304576012155152</v>
      </c>
      <c r="J42" s="66">
        <f>IFERROR(VLOOKUP("At-217",$A$4:$L$32,10)/$B42,0)</f>
        <v>93.934756333214722</v>
      </c>
      <c r="K42" s="66">
        <f>IFERROR(VLOOKUP("At-217",$A$4:$L$32,11)/$B42,0)</f>
        <v>98.466352045222209</v>
      </c>
      <c r="L42" s="66">
        <f>IFERROR(VLOOKUP("At-217",$A$4:$L$32,12)/$B42,0)</f>
        <v>109.8954156223792</v>
      </c>
      <c r="M42" s="65">
        <f>IFERROR(VLOOKUP("At-217",$A$4:$R$32,13)/$B42,0)</f>
        <v>9.5347837517472234E-6</v>
      </c>
      <c r="N42" s="66">
        <f>IFERROR(VLOOKUP("At-217",$A$4:$R$32,14)/$B42,0)</f>
        <v>8.1537108628358655E-9</v>
      </c>
      <c r="O42" s="66">
        <f>IFERROR(VLOOKUP("At-217",$A$4:$R$32,15)/$B42,0)</f>
        <v>7.7128051281163798E-6</v>
      </c>
      <c r="P42" s="66">
        <f>IFERROR(VLOOKUP("At-217",$A$4:$R$32,16)/$B42,0)</f>
        <v>8.0848858787401265E-6</v>
      </c>
      <c r="Q42" s="66">
        <f>IFERROR(VLOOKUP("At-217",$A$4:$R$32,17)/$B42,0)</f>
        <v>9.0233046665077745E-6</v>
      </c>
      <c r="R42" s="90">
        <f t="shared" si="79"/>
        <v>595827.45607293036</v>
      </c>
    </row>
    <row r="43" spans="1:18">
      <c r="A43" s="31" t="s">
        <v>146</v>
      </c>
      <c r="B43" s="33">
        <v>0.99987999999999999</v>
      </c>
      <c r="C43" s="65">
        <f>IFERROR(VLOOKUP("Bi-213",$A$4:$L$32,3)/$B43,0)</f>
        <v>9.6145911232215209</v>
      </c>
      <c r="D43" s="66">
        <f>IFERROR(VLOOKUP("Bi-213",$A$4:$L$32,4)/$B43,0)</f>
        <v>11.032592054361642</v>
      </c>
      <c r="E43" s="66">
        <f>IFERROR(VLOOKUP("Bi-213",$A$4:$L$32,5)/$B43,0)</f>
        <v>9.3624078037715872</v>
      </c>
      <c r="F43" s="66">
        <f>IFERROR(VLOOKUP("Bi-213",$A$4:$L$32,6)/$B43,0)</f>
        <v>8.6538987192922399</v>
      </c>
      <c r="G43" s="66">
        <f>IFERROR(VLOOKUP("Bi-213",$A$4:$L$32,7)/$B43,0)</f>
        <v>9.9432736452823391</v>
      </c>
      <c r="H43" s="65">
        <f>IFERROR(VLOOKUP("Bi-213",$A$4:$L$32,8)/$B43,0)</f>
        <v>0.35573987155919667</v>
      </c>
      <c r="I43" s="66">
        <f>IFERROR(VLOOKUP("Bi-213",$A$4:$L$32,9)/$B43,0)</f>
        <v>0.40820590601138118</v>
      </c>
      <c r="J43" s="66">
        <f>IFERROR(VLOOKUP("Bi-213",$A$4:$L$32,10)/$B43,0)</f>
        <v>0.34640908873954906</v>
      </c>
      <c r="K43" s="66">
        <f>IFERROR(VLOOKUP("Bi-213",$A$4:$L$32,11)/$B43,0)</f>
        <v>0.32019425261381318</v>
      </c>
      <c r="L43" s="66">
        <f>IFERROR(VLOOKUP("Bi-213",$A$4:$L$32,12)/$B43,0)</f>
        <v>0.36790112487544691</v>
      </c>
      <c r="M43" s="65">
        <f>IFERROR(VLOOKUP("Bi-213",$A$4:$R$32,13)/$B43,0)</f>
        <v>2.8670710729446572E-8</v>
      </c>
      <c r="N43" s="66">
        <f>IFERROR(VLOOKUP("Bi-213",$A$4:$R$32,14)/$B43,0)</f>
        <v>3.289918950610642E-11</v>
      </c>
      <c r="O43" s="66">
        <f>IFERROR(VLOOKUP("Bi-213",$A$4:$R$32,15)/$B43,0)</f>
        <v>2.7918700070846872E-8</v>
      </c>
      <c r="P43" s="66">
        <f>IFERROR(VLOOKUP("Bi-213",$A$4:$R$32,16)/$B43,0)</f>
        <v>2.5805925980929456E-8</v>
      </c>
      <c r="Q43" s="66">
        <f>IFERROR(VLOOKUP("Bi-213",$A$4:$R$32,17)/$B43,0)</f>
        <v>2.9650842010231938E-8</v>
      </c>
      <c r="R43" s="90">
        <f t="shared" si="79"/>
        <v>2449.2354360682848</v>
      </c>
    </row>
    <row r="44" spans="1:18">
      <c r="A44" s="31" t="s">
        <v>147</v>
      </c>
      <c r="B44" s="32">
        <v>0.97898250799999997</v>
      </c>
      <c r="C44" s="65">
        <f>IFERROR(VLOOKUP("Po-213",$A$4:$L$32,3)/$B44,0)</f>
        <v>56671.618730560214</v>
      </c>
      <c r="D44" s="66">
        <f>IFERROR(VLOOKUP("Po-213",$A$4:$L$32,4)/$B44,0)</f>
        <v>87570.391367922042</v>
      </c>
      <c r="E44" s="66">
        <f>IFERROR(VLOOKUP("Po-213",$A$4:$L$32,5)/$B44,0)</f>
        <v>64286.210189733341</v>
      </c>
      <c r="F44" s="66">
        <f>IFERROR(VLOOKUP("Po-213",$A$4:$L$32,6)/$B44,0)</f>
        <v>62678.195856316444</v>
      </c>
      <c r="G44" s="66">
        <f>IFERROR(VLOOKUP("Po-213",$A$4:$L$32,7)/$B44,0)</f>
        <v>72828.702651468469</v>
      </c>
      <c r="H44" s="65">
        <f>IFERROR(VLOOKUP("Po-213",$A$4:$L$32,8)/$B44,0)</f>
        <v>2096.8498930307301</v>
      </c>
      <c r="I44" s="66">
        <f>IFERROR(VLOOKUP("Po-213",$A$4:$L$32,9)/$B44,0)</f>
        <v>3240.104480613119</v>
      </c>
      <c r="J44" s="66">
        <f>IFERROR(VLOOKUP("Po-213",$A$4:$L$32,10)/$B44,0)</f>
        <v>2378.5897770201359</v>
      </c>
      <c r="K44" s="66">
        <f>IFERROR(VLOOKUP("Po-213",$A$4:$L$32,11)/$B44,0)</f>
        <v>2319.0932466837107</v>
      </c>
      <c r="L44" s="66">
        <f>IFERROR(VLOOKUP("Po-213",$A$4:$L$32,12)/$B44,0)</f>
        <v>2694.6619981043359</v>
      </c>
      <c r="M44" s="65">
        <f>IFERROR(VLOOKUP("Po-213",$A$4:$R$32,13)/$B44,0)</f>
        <v>1.6899476705453054E-4</v>
      </c>
      <c r="N44" s="66">
        <f>IFERROR(VLOOKUP("Po-213",$A$4:$R$32,14)/$B44,0)</f>
        <v>2.6113490705914357E-7</v>
      </c>
      <c r="O44" s="66">
        <f>IFERROR(VLOOKUP("Po-213",$A$4:$R$32,15)/$B44,0)</f>
        <v>1.9170147878578482E-4</v>
      </c>
      <c r="P44" s="66">
        <f>IFERROR(VLOOKUP("Po-213",$A$4:$R$32,16)/$B44,0)</f>
        <v>1.8690638004353563E-4</v>
      </c>
      <c r="Q44" s="66">
        <f>IFERROR(VLOOKUP("Po-213",$A$4:$R$32,17)/$B44,0)</f>
        <v>2.1717519130667892E-4</v>
      </c>
      <c r="R44" s="90">
        <f t="shared" si="79"/>
        <v>19440626.883678693</v>
      </c>
    </row>
    <row r="45" spans="1:18">
      <c r="A45" s="31" t="s">
        <v>148</v>
      </c>
      <c r="B45" s="32">
        <v>2.0897492E-2</v>
      </c>
      <c r="C45" s="65">
        <f>IFERROR(VLOOKUP("Tl-209",$A$4:$L$32,3)/$B45,0)</f>
        <v>53.394241449403566</v>
      </c>
      <c r="D45" s="66">
        <f>IFERROR(VLOOKUP("Tl-209",$A$4:$L$32,4)/$B45,0)</f>
        <v>57.248755178269434</v>
      </c>
      <c r="E45" s="66">
        <f>IFERROR(VLOOKUP("Tl-209",$A$4:$L$32,5)/$B45,0)</f>
        <v>46.797883980309706</v>
      </c>
      <c r="F45" s="66">
        <f>IFERROR(VLOOKUP("Tl-209",$A$4:$L$32,6)/$B45,0)</f>
        <v>46.539799294499339</v>
      </c>
      <c r="G45" s="66">
        <f>IFERROR(VLOOKUP("Tl-209",$A$4:$L$32,7)/$B45,0)</f>
        <v>53.929182640395922</v>
      </c>
      <c r="H45" s="65">
        <f>IFERROR(VLOOKUP("Tl-209",$A$4:$L$32,8)/$B45,0)</f>
        <v>1.9755869336279337</v>
      </c>
      <c r="I45" s="66">
        <f>IFERROR(VLOOKUP("Tl-209",$A$4:$L$32,9)/$B45,0)</f>
        <v>2.1182039415959713</v>
      </c>
      <c r="J45" s="66">
        <f>IFERROR(VLOOKUP("Tl-209",$A$4:$L$32,10)/$B45,0)</f>
        <v>1.7315217072714608</v>
      </c>
      <c r="K45" s="66">
        <f>IFERROR(VLOOKUP("Tl-209",$A$4:$L$32,11)/$B45,0)</f>
        <v>1.7219725738964775</v>
      </c>
      <c r="L45" s="66">
        <f>IFERROR(VLOOKUP("Tl-209",$A$4:$L$32,12)/$B45,0)</f>
        <v>1.9953797576946513</v>
      </c>
      <c r="M45" s="65">
        <f>IFERROR(VLOOKUP("Tl-209",$A$4:$R$32,13)/$B45,0)</f>
        <v>1.5623155048095481E-7</v>
      </c>
      <c r="N45" s="66">
        <f>IFERROR(VLOOKUP("Tl-209",$A$4:$R$32,14)/$B45,0)</f>
        <v>1.675098576516164E-10</v>
      </c>
      <c r="O45" s="66">
        <f>IFERROR(VLOOKUP("Tl-209",$A$4:$R$32,15)/$B45,0)</f>
        <v>1.3693060852638617E-7</v>
      </c>
      <c r="P45" s="66">
        <f>IFERROR(VLOOKUP("Tl-209",$A$4:$R$32,16)/$B45,0)</f>
        <v>1.3617545273570506E-7</v>
      </c>
      <c r="Q45" s="66">
        <f>IFERROR(VLOOKUP("Tl-209",$A$4:$R$32,17)/$B45,0)</f>
        <v>1.5779678840579844E-7</v>
      </c>
      <c r="R45" s="90">
        <f t="shared" si="79"/>
        <v>12709.223649575815</v>
      </c>
    </row>
    <row r="46" spans="1:18">
      <c r="A46" s="31" t="s">
        <v>149</v>
      </c>
      <c r="B46" s="32">
        <v>0.99987999999999999</v>
      </c>
      <c r="C46" s="65">
        <f>IFERROR(VLOOKUP("Pb-209",$A$4:$L$32,3)/$B46,0)</f>
        <v>0</v>
      </c>
      <c r="D46" s="66">
        <f>IFERROR(VLOOKUP("Pb-209",$A$4:$L$32,4)/$B46,0)</f>
        <v>0</v>
      </c>
      <c r="E46" s="66">
        <f>IFERROR(VLOOKUP("Pb-209",$A$4:$L$32,5)/$B46,0)</f>
        <v>0</v>
      </c>
      <c r="F46" s="66">
        <f>IFERROR(VLOOKUP("Pb-209",$A$4:$L$32,6)/$B46,0)</f>
        <v>0</v>
      </c>
      <c r="G46" s="66">
        <f>IFERROR(VLOOKUP("Pb-209",$A$4:$L$32,7)/$B46,0)</f>
        <v>0</v>
      </c>
      <c r="H46" s="65">
        <f>IFERROR(VLOOKUP("Pb-209",$A$4:$L$32,8)/$B46,0)</f>
        <v>0</v>
      </c>
      <c r="I46" s="66">
        <f>IFERROR(VLOOKUP("Pb-209",$A$4:$L$32,9)/$B46,0)</f>
        <v>0</v>
      </c>
      <c r="J46" s="66">
        <f>IFERROR(VLOOKUP("Pb-209",$A$4:$L$32,10)/$B46,0)</f>
        <v>0</v>
      </c>
      <c r="K46" s="66">
        <f>IFERROR(VLOOKUP("Pb-209",$A$4:$L$32,11)/$B46,0)</f>
        <v>0</v>
      </c>
      <c r="L46" s="66">
        <f>IFERROR(VLOOKUP("Pb-209",$A$4:$L$32,12)/$B46,0)</f>
        <v>0</v>
      </c>
      <c r="M46" s="65">
        <f>IFERROR(VLOOKUP("Pb-209",$A$4:$R$32,13)/$B46,0)</f>
        <v>0</v>
      </c>
      <c r="N46" s="66">
        <f>IFERROR(VLOOKUP("Pb-209",$A$4:$R$32,14)/$B46,0)</f>
        <v>0</v>
      </c>
      <c r="O46" s="66">
        <f>IFERROR(VLOOKUP("Pb-209",$A$4:$R$32,15)/$B46,0)</f>
        <v>0</v>
      </c>
      <c r="P46" s="66">
        <f>IFERROR(VLOOKUP("Pb-209",$A$4:$R$32,16)/$B46,0)</f>
        <v>0</v>
      </c>
      <c r="Q46" s="66">
        <f>IFERROR(VLOOKUP("Pb-209",$A$4:$R$32,17)/$B46,0)</f>
        <v>0</v>
      </c>
      <c r="R46" s="90">
        <f t="shared" si="79"/>
        <v>0</v>
      </c>
    </row>
    <row r="47" spans="1:18">
      <c r="A47" s="30" t="s">
        <v>17</v>
      </c>
      <c r="B47" s="30" t="s">
        <v>50</v>
      </c>
      <c r="C47" s="71">
        <f>IFERROR(1/SUM(1/C48,1/C49),0)</f>
        <v>3.350461819032561</v>
      </c>
      <c r="D47" s="72">
        <f t="shared" ref="D47:G47" si="80">IFERROR(1/SUM(1/D48,1/D49),0)</f>
        <v>1.9952620195817643</v>
      </c>
      <c r="E47" s="72">
        <f t="shared" si="80"/>
        <v>1.5544353695968247</v>
      </c>
      <c r="F47" s="72">
        <f t="shared" si="80"/>
        <v>1.5388880457379257</v>
      </c>
      <c r="G47" s="72">
        <f t="shared" si="80"/>
        <v>1.4084565250380621</v>
      </c>
      <c r="H47" s="71">
        <f>IFERROR(1/SUM(1/H48,1/H49),0)</f>
        <v>0.12396708730420486</v>
      </c>
      <c r="I47" s="72">
        <f t="shared" ref="I47:L47" si="81">IFERROR(1/SUM(1/I48,1/I49),0)</f>
        <v>7.3824694724525367E-2</v>
      </c>
      <c r="J47" s="72">
        <f t="shared" si="81"/>
        <v>5.7514108675082568E-2</v>
      </c>
      <c r="K47" s="72">
        <f t="shared" si="81"/>
        <v>5.6938857692303321E-2</v>
      </c>
      <c r="L47" s="72">
        <f t="shared" si="81"/>
        <v>5.2112891426408348E-2</v>
      </c>
      <c r="M47" s="20">
        <f>IFERROR(C47*VLOOKUP("Cs-137",Isospec!$A$3:$R$31,3)*VLOOKUP("Cs-137",Isospec!$A$3:$R$31,6)*s_SSLgram,".")</f>
        <v>6.4261857689044515E-9</v>
      </c>
      <c r="N47" s="19">
        <f>IFERROR(D47*VLOOKUP("Cs-137",Isospec!$A$3:$R$31,3)*VLOOKUP("Cs-137",Isospec!$A$3:$R$31,6)*s_SSLcm_m,".")</f>
        <v>3.8269125535578243E-12</v>
      </c>
      <c r="O47" s="19">
        <f>IFERROR(E47*VLOOKUP("Cs-137",Isospec!$A$3:$R$31,3)*VLOOKUP("Cs-137",Isospec!$A$3:$R$31,6)*s_SSLgram,".")</f>
        <v>2.98140703888671E-9</v>
      </c>
      <c r="P47" s="19">
        <f>IFERROR(F47*VLOOKUP("Cs-137",Isospec!$A$3:$R$31,3)*VLOOKUP("Cs-137",Isospec!$A$3:$R$31,6)*s_SSLgram,".")</f>
        <v>2.9515872717253414E-9</v>
      </c>
      <c r="Q47" s="21">
        <f>IFERROR(G47*VLOOKUP("Cs-137",Isospec!$A$3:$R$31,3)*VLOOKUP("Cs-137",Isospec!$A$3:$R$31,6)*s_SSLgram,".")</f>
        <v>2.7014196150230027E-9</v>
      </c>
      <c r="R47" s="89">
        <f t="shared" si="79"/>
        <v>442.94816834715169</v>
      </c>
    </row>
    <row r="48" spans="1:18">
      <c r="A48" s="31" t="s">
        <v>150</v>
      </c>
      <c r="B48" s="32">
        <v>1</v>
      </c>
      <c r="C48" s="65">
        <f>IFERROR(VLOOKUP("Cs-137",$A$4:$L$32,3)/$B48,0)</f>
        <v>508109.06145558867</v>
      </c>
      <c r="D48" s="66">
        <f>IFERROR(VLOOKUP("Cs-137",$A$4:$L$32,4)/$B48,0)</f>
        <v>3.5387341840729549</v>
      </c>
      <c r="E48" s="66">
        <f>IFERROR(VLOOKUP("Cs-137",$A$4:$L$32,5)/$B48,0)</f>
        <v>2.8052469069794768</v>
      </c>
      <c r="F48" s="66">
        <f>IFERROR(VLOOKUP("Cs-137",$A$4:$L$32,6)/$B48,0)</f>
        <v>2.9365475386764426</v>
      </c>
      <c r="G48" s="66">
        <f>IFERROR(VLOOKUP("Cs-137",$A$4:$L$32,7)/$B48,0)</f>
        <v>2.1564607014370925</v>
      </c>
      <c r="H48" s="65">
        <f>IFERROR(VLOOKUP("Cs-137",$A$4:$L$32,8)/$B48,0)</f>
        <v>18800.0352738568</v>
      </c>
      <c r="I48" s="66">
        <f>IFERROR(VLOOKUP("Cs-137",$A$4:$L$32,9)/$B48,0)</f>
        <v>0.13093316481069947</v>
      </c>
      <c r="J48" s="66">
        <f>IFERROR(VLOOKUP("Cs-137",$A$4:$L$32,10)/$B48,0)</f>
        <v>0.10379413555824074</v>
      </c>
      <c r="K48" s="66">
        <f>IFERROR(VLOOKUP("Cs-137",$A$4:$L$32,11)/$B48,0)</f>
        <v>0.10865225893102849</v>
      </c>
      <c r="L48" s="66">
        <f>IFERROR(VLOOKUP("Cs-137",$A$4:$L$32,12)/$B48,0)</f>
        <v>7.9789045953172502E-2</v>
      </c>
      <c r="M48" s="65">
        <f>IFERROR(VLOOKUP("Cs-137",$A$4:$R$32,13)/$B48,0)</f>
        <v>9.7455317987181901E-4</v>
      </c>
      <c r="N48" s="66">
        <f>IFERROR(VLOOKUP("Cs-137",$A$4:$R$32,14)/$B48,0)</f>
        <v>6.7872921650519276E-12</v>
      </c>
      <c r="O48" s="66">
        <f>IFERROR(VLOOKUP("Cs-137",$A$4:$R$32,15)/$B48,0)</f>
        <v>5.3804635675866363E-9</v>
      </c>
      <c r="P48" s="66">
        <f>IFERROR(VLOOKUP("Cs-137",$A$4:$R$32,16)/$B48,0)</f>
        <v>5.6322981791814169E-9</v>
      </c>
      <c r="Q48" s="66">
        <f>IFERROR(VLOOKUP("Cs-137",$A$4:$R$32,17)/$B48,0)</f>
        <v>4.1360916253563432E-9</v>
      </c>
      <c r="R48" s="90">
        <f t="shared" si="79"/>
        <v>785.59898886419614</v>
      </c>
    </row>
    <row r="49" spans="1:18">
      <c r="A49" s="31" t="s">
        <v>151</v>
      </c>
      <c r="B49" s="32">
        <v>0.94399</v>
      </c>
      <c r="C49" s="65">
        <f>IFERROR(VLOOKUP("Ba-137m",$A$4:$L$32,3)/$B49,0)</f>
        <v>3.3504839120619399</v>
      </c>
      <c r="D49" s="66">
        <f>IFERROR(VLOOKUP("Ba-137m",$A$4:$L$32,4)/$B49,0)</f>
        <v>4.5745573372254551</v>
      </c>
      <c r="E49" s="66">
        <f>IFERROR(VLOOKUP("Ba-137m",$A$4:$L$32,5)/$B49,0)</f>
        <v>3.4861966669939597</v>
      </c>
      <c r="F49" s="66">
        <f>IFERROR(VLOOKUP("Ba-137m",$A$4:$L$32,6)/$B49,0)</f>
        <v>3.2332752904709805</v>
      </c>
      <c r="G49" s="66">
        <f>IFERROR(VLOOKUP("Ba-137m",$A$4:$L$32,7)/$B49,0)</f>
        <v>4.0605136197888836</v>
      </c>
      <c r="H49" s="65">
        <f>IFERROR(VLOOKUP("Ba-137m",$A$4:$L$32,8)/$B49,0)</f>
        <v>0.12396790474629189</v>
      </c>
      <c r="I49" s="66">
        <f>IFERROR(VLOOKUP("Ba-137m",$A$4:$L$32,9)/$B49,0)</f>
        <v>0.16925862147734203</v>
      </c>
      <c r="J49" s="66">
        <f>IFERROR(VLOOKUP("Ba-137m",$A$4:$L$32,10)/$B49,0)</f>
        <v>0.12898927667877663</v>
      </c>
      <c r="K49" s="66">
        <f>IFERROR(VLOOKUP("Ba-137m",$A$4:$L$32,11)/$B49,0)</f>
        <v>0.11963118574742641</v>
      </c>
      <c r="L49" s="66">
        <f>IFERROR(VLOOKUP("Ba-137m",$A$4:$L$32,12)/$B49,0)</f>
        <v>0.15023900393218884</v>
      </c>
      <c r="M49" s="65">
        <f>IFERROR(VLOOKUP("Ba-137m",$A$4:$R$32,13)/$B49,0)</f>
        <v>6.426228143334801E-9</v>
      </c>
      <c r="N49" s="66">
        <f>IFERROR(VLOOKUP("Ba-137m",$A$4:$R$32,14)/$B49,0)</f>
        <v>8.774000972798421E-12</v>
      </c>
      <c r="O49" s="66">
        <f>IFERROR(VLOOKUP("Ba-137m",$A$4:$R$32,15)/$B49,0)</f>
        <v>6.6865252072944151E-9</v>
      </c>
      <c r="P49" s="66">
        <f>IFERROR(VLOOKUP("Ba-137m",$A$4:$R$32,16)/$B49,0)</f>
        <v>6.2014220071233404E-9</v>
      </c>
      <c r="Q49" s="66">
        <f>IFERROR(VLOOKUP("Ba-137m",$A$4:$R$32,17)/$B49,0)</f>
        <v>7.7880651227550761E-9</v>
      </c>
      <c r="R49" s="90">
        <f t="shared" si="79"/>
        <v>1015.5517288640513</v>
      </c>
    </row>
    <row r="50" spans="1:18">
      <c r="A50" s="30" t="s">
        <v>27</v>
      </c>
      <c r="B50" s="30" t="s">
        <v>50</v>
      </c>
      <c r="C50" s="71">
        <f t="shared" ref="C50:L50" si="82">IFERROR(1/SUM(1/C51,1/C52,1/C56,1/C57,1/C55,1/C58,1/C59,1/C60,1/C61,1/C63,1/C62,1/C64),0)</f>
        <v>1.2254955693636005</v>
      </c>
      <c r="D50" s="72">
        <f t="shared" si="82"/>
        <v>0.88297553628074321</v>
      </c>
      <c r="E50" s="72">
        <f t="shared" si="82"/>
        <v>0.82310912752672161</v>
      </c>
      <c r="F50" s="72">
        <f t="shared" si="82"/>
        <v>0.81981128471289566</v>
      </c>
      <c r="G50" s="72">
        <f t="shared" si="82"/>
        <v>0.90127406081292993</v>
      </c>
      <c r="H50" s="71">
        <f t="shared" si="82"/>
        <v>4.5343336066453264E-2</v>
      </c>
      <c r="I50" s="72">
        <f t="shared" si="82"/>
        <v>3.2670094842387518E-2</v>
      </c>
      <c r="J50" s="72">
        <f t="shared" si="82"/>
        <v>3.0455037718488741E-2</v>
      </c>
      <c r="K50" s="72">
        <f t="shared" si="82"/>
        <v>3.0333017534377164E-2</v>
      </c>
      <c r="L50" s="72">
        <f t="shared" si="82"/>
        <v>3.3347140250078434E-2</v>
      </c>
      <c r="M50" s="20">
        <f>IFERROR(C50*VLOOKUP("Ra-226",Isospec!$A$3:$R$31,3)*VLOOKUP("Ra-226",Isospec!$A$3:$R$31,6)*s_SSLgram,".")</f>
        <v>3.8774679814664311E-9</v>
      </c>
      <c r="N50" s="19">
        <f>IFERROR(D50*VLOOKUP("Ra-226",Isospec!$A$3:$R$31,3)*VLOOKUP("Ra-226",Isospec!$A$3:$R$31,6)*s_SSLcm_m,".")</f>
        <v>2.7937345967922718E-12</v>
      </c>
      <c r="O50" s="19">
        <f>IFERROR(E50*VLOOKUP("Ra-226",Isospec!$A$3:$R$31,3)*VLOOKUP("Ra-226",Isospec!$A$3:$R$31,6)*s_SSLgram,".")</f>
        <v>2.604317279494547E-9</v>
      </c>
      <c r="P50" s="19">
        <f>IFERROR(F50*VLOOKUP("Ra-226",Isospec!$A$3:$R$31,3)*VLOOKUP("Ra-226",Isospec!$A$3:$R$31,6)*s_SSLgram,".")</f>
        <v>2.5938829048316019E-9</v>
      </c>
      <c r="Q50" s="21">
        <f>IFERROR(G50*VLOOKUP("Ra-226",Isospec!$A$3:$R$31,3)*VLOOKUP("Ra-226",Isospec!$A$3:$R$31,6)*s_SSLgram,".")</f>
        <v>2.8516311284121101E-9</v>
      </c>
      <c r="R50" s="89">
        <f t="shared" si="79"/>
        <v>196.02056905432502</v>
      </c>
    </row>
    <row r="51" spans="1:18">
      <c r="A51" s="31" t="s">
        <v>152</v>
      </c>
      <c r="B51" s="32">
        <v>1</v>
      </c>
      <c r="C51" s="65">
        <f>IFERROR(VLOOKUP("Ra-226",$A$4:$L$32,3)/$B51,0)</f>
        <v>79.215961681332871</v>
      </c>
      <c r="D51" s="66">
        <f>IFERROR(VLOOKUP("Ra-226",$A$4:$L$32,4)/$B51,0)</f>
        <v>3.9858378551355069</v>
      </c>
      <c r="E51" s="66">
        <f>IFERROR(VLOOKUP("Ra-226",$A$4:$L$32,5)/$B51,0)</f>
        <v>3.0680616997357122</v>
      </c>
      <c r="F51" s="66">
        <f>IFERROR(VLOOKUP("Ra-226",$A$4:$L$32,6)/$B51,0)</f>
        <v>3.1231399112380336</v>
      </c>
      <c r="G51" s="66">
        <f>IFERROR(VLOOKUP("Ra-226",$A$4:$L$32,7)/$B51,0)</f>
        <v>2.9493478570457206</v>
      </c>
      <c r="H51" s="65">
        <f>IFERROR(VLOOKUP("Ra-226",$A$4:$L$32,8)/$B51,0)</f>
        <v>2.9309905822093194</v>
      </c>
      <c r="I51" s="66">
        <f>IFERROR(VLOOKUP("Ra-226",$A$4:$L$32,9)/$B51,0)</f>
        <v>0.1474760006400139</v>
      </c>
      <c r="J51" s="66">
        <f>IFERROR(VLOOKUP("Ra-226",$A$4:$L$32,10)/$B51,0)</f>
        <v>0.11351828289022146</v>
      </c>
      <c r="K51" s="66">
        <f>IFERROR(VLOOKUP("Ra-226",$A$4:$L$32,11)/$B51,0)</f>
        <v>0.11555617671580735</v>
      </c>
      <c r="L51" s="66">
        <f>IFERROR(VLOOKUP("Ra-226",$A$4:$L$32,12)/$B51,0)</f>
        <v>0.10912587071069177</v>
      </c>
      <c r="M51" s="65">
        <f>IFERROR(VLOOKUP("Ra-226",$A$4:$R$32,13)/$B51,0)</f>
        <v>2.5063930275973718E-7</v>
      </c>
      <c r="N51" s="66">
        <f>IFERROR(VLOOKUP("Ra-226",$A$4:$R$32,14)/$B51,0)</f>
        <v>1.2611190973648745E-11</v>
      </c>
      <c r="O51" s="66">
        <f>IFERROR(VLOOKUP("Ra-226",$A$4:$R$32,15)/$B51,0)</f>
        <v>9.7073472179637924E-9</v>
      </c>
      <c r="P51" s="66">
        <f>IFERROR(VLOOKUP("Ra-226",$A$4:$R$32,16)/$B51,0)</f>
        <v>9.881614679157138E-9</v>
      </c>
      <c r="Q51" s="66">
        <f>IFERROR(VLOOKUP("Ra-226",$A$4:$R$32,17)/$B51,0)</f>
        <v>9.3317366196926599E-9</v>
      </c>
      <c r="R51" s="90">
        <f t="shared" si="79"/>
        <v>884.85600384008262</v>
      </c>
    </row>
    <row r="52" spans="1:18">
      <c r="A52" s="31" t="s">
        <v>153</v>
      </c>
      <c r="B52" s="32">
        <v>1</v>
      </c>
      <c r="C52" s="65">
        <f>IFERROR(VLOOKUP("Rn-222",$A$4:$L$32,3)/$B52,0)</f>
        <v>3778.717474141803</v>
      </c>
      <c r="D52" s="66">
        <f>IFERROR(VLOOKUP("Rn-222",$A$4:$L$32,4)/$B52,0)</f>
        <v>5339.8592549120085</v>
      </c>
      <c r="E52" s="66">
        <f>IFERROR(VLOOKUP("Rn-222",$A$4:$L$32,5)/$B52,0)</f>
        <v>4083.5109580442449</v>
      </c>
      <c r="F52" s="66">
        <f>IFERROR(VLOOKUP("Rn-222",$A$4:$L$32,6)/$B52,0)</f>
        <v>3511.0557800007959</v>
      </c>
      <c r="G52" s="66">
        <f>IFERROR(VLOOKUP("Rn-222",$A$4:$L$32,7)/$B52,0)</f>
        <v>3765.3756173666447</v>
      </c>
      <c r="H52" s="65">
        <f>IFERROR(VLOOKUP("Rn-222",$A$4:$L$32,8)/$B52,0)</f>
        <v>139.81254654324684</v>
      </c>
      <c r="I52" s="66">
        <f>IFERROR(VLOOKUP("Rn-222",$A$4:$L$32,9)/$B52,0)</f>
        <v>197.57479243174453</v>
      </c>
      <c r="J52" s="66">
        <f>IFERROR(VLOOKUP("Rn-222",$A$4:$L$32,10)/$B52,0)</f>
        <v>151.08990544763722</v>
      </c>
      <c r="K52" s="66">
        <f>IFERROR(VLOOKUP("Rn-222",$A$4:$L$32,11)/$B52,0)</f>
        <v>129.90906386002959</v>
      </c>
      <c r="L52" s="66">
        <f>IFERROR(VLOOKUP("Rn-222",$A$4:$L$32,12)/$B52,0)</f>
        <v>139.318897842566</v>
      </c>
      <c r="M52" s="65">
        <f>IFERROR(VLOOKUP("Rn-222",$A$4:$R$32,13)/$B52,0)</f>
        <v>1.1744253909632721E-5</v>
      </c>
      <c r="N52" s="66">
        <f>IFERROR(VLOOKUP("Rn-222",$A$4:$R$32,14)/$B52,0)</f>
        <v>1.6596282564266521E-8</v>
      </c>
      <c r="O52" s="66">
        <f>IFERROR(VLOOKUP("Rn-222",$A$4:$R$32,15)/$B52,0)</f>
        <v>1.2691552057601511E-5</v>
      </c>
      <c r="P52" s="66">
        <f>IFERROR(VLOOKUP("Rn-222",$A$4:$R$32,16)/$B52,0)</f>
        <v>1.0912361364242474E-5</v>
      </c>
      <c r="Q52" s="66">
        <f>IFERROR(VLOOKUP("Rn-222",$A$4:$R$32,17)/$B52,0)</f>
        <v>1.1702787418775532E-5</v>
      </c>
      <c r="R52" s="90">
        <f t="shared" si="79"/>
        <v>1185448.7545904659</v>
      </c>
    </row>
    <row r="53" spans="1:18">
      <c r="A53" s="31" t="s">
        <v>154</v>
      </c>
      <c r="B53" s="32">
        <v>1</v>
      </c>
      <c r="C53" s="65">
        <f>IFERROR(VLOOKUP("Po-218",$A$4:$L$32,3)/$B53,0)</f>
        <v>0</v>
      </c>
      <c r="D53" s="66">
        <f>IFERROR(VLOOKUP("Po-218",$A$4:$L$32,4)/$B53,0)</f>
        <v>0</v>
      </c>
      <c r="E53" s="66">
        <f>IFERROR(VLOOKUP("Po-218",$A$4:$L$32,5)/$B53,0)</f>
        <v>0</v>
      </c>
      <c r="F53" s="66">
        <f>IFERROR(VLOOKUP("Po-218",$A$4:$L$32,6)/$B53,0)</f>
        <v>0</v>
      </c>
      <c r="G53" s="66">
        <f>IFERROR(VLOOKUP("Po-218",$A$4:$L$32,7)/$B53,0)</f>
        <v>0</v>
      </c>
      <c r="H53" s="65">
        <f>IFERROR(VLOOKUP("Po-218",$A$4:$L$32,8)/$B53,0)</f>
        <v>0</v>
      </c>
      <c r="I53" s="66">
        <f>IFERROR(VLOOKUP("Po-218",$A$4:$L$32,9)/$B53,0)</f>
        <v>0</v>
      </c>
      <c r="J53" s="66">
        <f>IFERROR(VLOOKUP("Po-218",$A$4:$L$32,10)/$B53,0)</f>
        <v>0</v>
      </c>
      <c r="K53" s="66">
        <f>IFERROR(VLOOKUP("Po-218",$A$4:$L$32,11)/$B53,0)</f>
        <v>0</v>
      </c>
      <c r="L53" s="66">
        <f>IFERROR(VLOOKUP("Po-218",$A$4:$L$32,12)/$B53,0)</f>
        <v>0</v>
      </c>
      <c r="M53" s="65">
        <f>IFERROR(VLOOKUP("Po-218",$A$4:$R$32,13)/$B53,0)</f>
        <v>0</v>
      </c>
      <c r="N53" s="66">
        <f>IFERROR(VLOOKUP("Po-218",$A$4:$R$32,14)/$B53,0)</f>
        <v>0</v>
      </c>
      <c r="O53" s="66">
        <f>IFERROR(VLOOKUP("Po-218",$A$4:$R$32,15)/$B53,0)</f>
        <v>0</v>
      </c>
      <c r="P53" s="66">
        <f>IFERROR(VLOOKUP("Po-218",$A$4:$R$32,16)/$B53,0)</f>
        <v>0</v>
      </c>
      <c r="Q53" s="66">
        <f>IFERROR(VLOOKUP("Po-218",$A$4:$R$32,17)/$B53,0)</f>
        <v>0</v>
      </c>
      <c r="R53" s="90">
        <f t="shared" si="79"/>
        <v>0</v>
      </c>
    </row>
    <row r="54" spans="1:18">
      <c r="A54" s="31" t="s">
        <v>156</v>
      </c>
      <c r="B54" s="32">
        <v>2.0000000000000001E-4</v>
      </c>
      <c r="C54" s="65">
        <f>IFERROR(VLOOKUP("At-218",$A$4:$L$32,3)/$B54,0)</f>
        <v>0</v>
      </c>
      <c r="D54" s="66">
        <f>IFERROR(VLOOKUP("At-218",$A$4:$L$32,4)/$B54,0)</f>
        <v>0</v>
      </c>
      <c r="E54" s="66">
        <f>IFERROR(VLOOKUP("At-218",$A$4:$L$32,5)/$B54,0)</f>
        <v>0</v>
      </c>
      <c r="F54" s="66">
        <f>IFERROR(VLOOKUP("At-218",$A$4:$L$32,6)/$B54,0)</f>
        <v>0</v>
      </c>
      <c r="G54" s="66">
        <f>IFERROR(VLOOKUP("At-218",$A$4:$L$32,7)/$B54,0)</f>
        <v>0</v>
      </c>
      <c r="H54" s="65">
        <f>IFERROR(VLOOKUP("At-218",$A$4:$L$32,8)/$B54,0)</f>
        <v>0</v>
      </c>
      <c r="I54" s="66">
        <f>IFERROR(VLOOKUP("At-218",$A$4:$L$32,9)/$B54,0)</f>
        <v>0</v>
      </c>
      <c r="J54" s="66">
        <f>IFERROR(VLOOKUP("At-218",$A$4:$L$32,10)/$B54,0)</f>
        <v>0</v>
      </c>
      <c r="K54" s="66">
        <f>IFERROR(VLOOKUP("At-218",$A$4:$L$32,11)/$B54,0)</f>
        <v>0</v>
      </c>
      <c r="L54" s="66">
        <f>IFERROR(VLOOKUP("At-218",$A$4:$L$32,12)/$B54,0)</f>
        <v>0</v>
      </c>
      <c r="M54" s="65">
        <f>IFERROR(VLOOKUP("At-218",$A$4:$R$32,13)/$B54,0)</f>
        <v>0</v>
      </c>
      <c r="N54" s="66">
        <f>IFERROR(VLOOKUP("At-218",$A$4:$R$32,14)/$B54,0)</f>
        <v>0</v>
      </c>
      <c r="O54" s="66">
        <f>IFERROR(VLOOKUP("At-218",$A$4:$R$32,15)/$B54,0)</f>
        <v>0</v>
      </c>
      <c r="P54" s="66">
        <f>IFERROR(VLOOKUP("At-218",$A$4:$R$32,16)/$B54,0)</f>
        <v>0</v>
      </c>
      <c r="Q54" s="66">
        <f>IFERROR(VLOOKUP("At-218",$A$4:$R$32,17)/$B54,0)</f>
        <v>0</v>
      </c>
      <c r="R54" s="90">
        <f t="shared" si="79"/>
        <v>0</v>
      </c>
    </row>
    <row r="55" spans="1:18">
      <c r="A55" s="31" t="s">
        <v>158</v>
      </c>
      <c r="B55" s="32">
        <v>1.9999999999999999E-7</v>
      </c>
      <c r="C55" s="65">
        <f>IFERROR(VLOOKUP("Rn-218",$A$4:$L$32,3)/$B55,0)</f>
        <v>11756968458.316139</v>
      </c>
      <c r="D55" s="66">
        <f>IFERROR(VLOOKUP("Rn-218",$A$4:$L$32,4)/$B55,0)</f>
        <v>16854221529.806067</v>
      </c>
      <c r="E55" s="66">
        <f>IFERROR(VLOOKUP("Rn-218",$A$4:$L$32,5)/$B55,0)</f>
        <v>12390737271.646015</v>
      </c>
      <c r="F55" s="66">
        <f>IFERROR(VLOOKUP("Rn-218",$A$4:$L$32,6)/$B55,0)</f>
        <v>11292190608.750484</v>
      </c>
      <c r="G55" s="66">
        <f>IFERROR(VLOOKUP("Rn-218",$A$4:$L$32,7)/$B55,0)</f>
        <v>14301360755.358089</v>
      </c>
      <c r="H55" s="65">
        <f>IFERROR(VLOOKUP("Rn-218",$A$4:$L$32,8)/$B55,0)</f>
        <v>435007832.95769757</v>
      </c>
      <c r="I55" s="66">
        <f>IFERROR(VLOOKUP("Rn-218",$A$4:$L$32,9)/$B55,0)</f>
        <v>623606196.60282516</v>
      </c>
      <c r="J55" s="66">
        <f>IFERROR(VLOOKUP("Rn-218",$A$4:$L$32,10)/$B55,0)</f>
        <v>458457279.05090302</v>
      </c>
      <c r="K55" s="66">
        <f>IFERROR(VLOOKUP("Rn-218",$A$4:$L$32,11)/$B55,0)</f>
        <v>417811052.52376837</v>
      </c>
      <c r="L55" s="66">
        <f>IFERROR(VLOOKUP("Rn-218",$A$4:$L$32,12)/$B55,0)</f>
        <v>529150347.94824988</v>
      </c>
      <c r="M55" s="65">
        <f>IFERROR(VLOOKUP("Rn-218",$A$4:$R$32,13)/$B55,0)</f>
        <v>35.882267734780854</v>
      </c>
      <c r="N55" s="66">
        <f>IFERROR(VLOOKUP("Rn-218",$A$4:$R$32,14)/$B55,0)</f>
        <v>5.1439084108968115E-2</v>
      </c>
      <c r="O55" s="66">
        <f>IFERROR(VLOOKUP("Rn-218",$A$4:$R$32,15)/$B55,0)</f>
        <v>37.816530153063638</v>
      </c>
      <c r="P55" s="66">
        <f>IFERROR(VLOOKUP("Rn-218",$A$4:$R$32,16)/$B55,0)</f>
        <v>34.463765737906478</v>
      </c>
      <c r="Q55" s="66">
        <f>IFERROR(VLOOKUP("Rn-218",$A$4:$R$32,17)/$B55,0)</f>
        <v>43.647753025352891</v>
      </c>
      <c r="R55" s="90">
        <f>IF(D55&lt;&gt;".",D55*2.22*100,".")</f>
        <v>3741637179616.9473</v>
      </c>
    </row>
    <row r="56" spans="1:18">
      <c r="A56" s="31" t="s">
        <v>155</v>
      </c>
      <c r="B56" s="32">
        <v>0.99980000000000002</v>
      </c>
      <c r="C56" s="65">
        <f>IFERROR(VLOOKUP("Pb-214",$A$4:$L$32,3)/$B56,0)</f>
        <v>3.3942625379348028</v>
      </c>
      <c r="D56" s="66">
        <f>IFERROR(VLOOKUP("Pb-214",$A$4:$L$32,4)/$B56,0)</f>
        <v>2.8383560457972865</v>
      </c>
      <c r="E56" s="66">
        <f>IFERROR(VLOOKUP("Pb-214",$A$4:$L$32,5)/$B56,0)</f>
        <v>2.7348620446770595</v>
      </c>
      <c r="F56" s="66">
        <f>IFERROR(VLOOKUP("Pb-214",$A$4:$L$32,6)/$B56,0)</f>
        <v>2.7699045031074623</v>
      </c>
      <c r="G56" s="66">
        <f>IFERROR(VLOOKUP("Pb-214",$A$4:$L$32,7)/$B56,0)</f>
        <v>3.2367688501928567</v>
      </c>
      <c r="H56" s="65">
        <f>IFERROR(VLOOKUP("Pb-214",$A$4:$L$32,8)/$B56,0)</f>
        <v>0.12558771390358783</v>
      </c>
      <c r="I56" s="66">
        <f>IFERROR(VLOOKUP("Pb-214",$A$4:$L$32,9)/$B56,0)</f>
        <v>0.1050191736944997</v>
      </c>
      <c r="J56" s="66">
        <f>IFERROR(VLOOKUP("Pb-214",$A$4:$L$32,10)/$B56,0)</f>
        <v>0.1011898956530513</v>
      </c>
      <c r="K56" s="66">
        <f>IFERROR(VLOOKUP("Pb-214",$A$4:$L$32,11)/$B56,0)</f>
        <v>0.10248646661497621</v>
      </c>
      <c r="L56" s="66">
        <f>IFERROR(VLOOKUP("Pb-214",$A$4:$L$32,12)/$B56,0)</f>
        <v>0.11976044745713582</v>
      </c>
      <c r="M56" s="65">
        <f>IFERROR(VLOOKUP("Pb-214",$A$4:$R$32,13)/$B56,0)</f>
        <v>1.0169210563652671E-8</v>
      </c>
      <c r="N56" s="66">
        <f>IFERROR(VLOOKUP("Pb-214",$A$4:$R$32,14)/$B56,0)</f>
        <v>8.5037147132086706E-12</v>
      </c>
      <c r="O56" s="66">
        <f>IFERROR(VLOOKUP("Pb-214",$A$4:$R$32,15)/$B56,0)</f>
        <v>8.1936466858524706E-9</v>
      </c>
      <c r="P56" s="66">
        <f>IFERROR(VLOOKUP("Pb-214",$A$4:$R$32,16)/$B56,0)</f>
        <v>8.2986338913099543E-9</v>
      </c>
      <c r="Q56" s="66">
        <f>IFERROR(VLOOKUP("Pb-214",$A$4:$R$32,17)/$B56,0)</f>
        <v>9.6973594751777983E-9</v>
      </c>
      <c r="R56" s="90">
        <f>IF(D56&lt;&gt;".",D56*2.22*100,".")</f>
        <v>630.11504216699768</v>
      </c>
    </row>
    <row r="57" spans="1:18">
      <c r="A57" s="31" t="s">
        <v>157</v>
      </c>
      <c r="B57" s="32">
        <v>0.99999979999999999</v>
      </c>
      <c r="C57" s="65">
        <f>IFERROR(VLOOKUP("Bi-214",$A$4:$L$32,3)/$B57,0)</f>
        <v>2.1674043730218906</v>
      </c>
      <c r="D57" s="66">
        <f>IFERROR(VLOOKUP("Bi-214",$A$4:$L$32,4)/$B57,0)</f>
        <v>3.1606627620388279</v>
      </c>
      <c r="E57" s="66">
        <f>IFERROR(VLOOKUP("Bi-214",$A$4:$L$32,5)/$B57,0)</f>
        <v>2.3868532074607454</v>
      </c>
      <c r="F57" s="66">
        <f>IFERROR(VLOOKUP("Bi-214",$A$4:$L$32,6)/$B57,0)</f>
        <v>2.2971844536541579</v>
      </c>
      <c r="G57" s="66">
        <f>IFERROR(VLOOKUP("Bi-214",$A$4:$L$32,7)/$B57,0)</f>
        <v>2.7433535065179977</v>
      </c>
      <c r="H57" s="65">
        <f>IFERROR(VLOOKUP("Bi-214",$A$4:$L$32,8)/$B57,0)</f>
        <v>8.0193961801810029E-2</v>
      </c>
      <c r="I57" s="66">
        <f>IFERROR(VLOOKUP("Bi-214",$A$4:$L$32,9)/$B57,0)</f>
        <v>0.11694452219543675</v>
      </c>
      <c r="J57" s="66">
        <f>IFERROR(VLOOKUP("Bi-214",$A$4:$L$32,10)/$B57,0)</f>
        <v>8.8313568676047657E-2</v>
      </c>
      <c r="K57" s="66">
        <f>IFERROR(VLOOKUP("Bi-214",$A$4:$L$32,11)/$B57,0)</f>
        <v>8.4995824785203927E-2</v>
      </c>
      <c r="L57" s="66">
        <f>IFERROR(VLOOKUP("Bi-214",$A$4:$L$32,12)/$B57,0)</f>
        <v>0.10150407974116601</v>
      </c>
      <c r="M57" s="65">
        <f>IFERROR(VLOOKUP("Bi-214",$A$4:$R$32,13)/$B57,0)</f>
        <v>6.4935435015735831E-9</v>
      </c>
      <c r="N57" s="66">
        <f>IFERROR(VLOOKUP("Bi-214",$A$4:$R$32,14)/$B57,0)</f>
        <v>9.4693456350683295E-12</v>
      </c>
      <c r="O57" s="66">
        <f>IFERROR(VLOOKUP("Bi-214",$A$4:$R$32,15)/$B57,0)</f>
        <v>7.1510122095523913E-9</v>
      </c>
      <c r="P57" s="66">
        <f>IFERROR(VLOOKUP("Bi-214",$A$4:$R$32,16)/$B57,0)</f>
        <v>6.8823646231478574E-9</v>
      </c>
      <c r="Q57" s="66">
        <f>IFERROR(VLOOKUP("Bi-214",$A$4:$R$32,17)/$B57,0)</f>
        <v>8.219087105527921E-9</v>
      </c>
      <c r="R57" s="90">
        <f t="shared" si="79"/>
        <v>701.66713317261986</v>
      </c>
    </row>
    <row r="58" spans="1:18">
      <c r="A58" s="31" t="s">
        <v>159</v>
      </c>
      <c r="B58" s="32">
        <v>0.99979000004200003</v>
      </c>
      <c r="C58" s="65">
        <f>IFERROR(VLOOKUP("Po-214",$A$4:$L$32,3)/$B58,0)</f>
        <v>25761.527082088553</v>
      </c>
      <c r="D58" s="66">
        <f>IFERROR(VLOOKUP("Po-214",$A$4:$L$32,4)/$B58,0)</f>
        <v>41498.927745141242</v>
      </c>
      <c r="E58" s="66">
        <f>IFERROR(VLOOKUP("Po-214",$A$4:$L$32,5)/$B58,0)</f>
        <v>29862.170828718623</v>
      </c>
      <c r="F58" s="66">
        <f>IFERROR(VLOOKUP("Po-214",$A$4:$L$32,6)/$B58,0)</f>
        <v>29115.561625225626</v>
      </c>
      <c r="G58" s="66">
        <f>IFERROR(VLOOKUP("Po-214",$A$4:$L$32,7)/$B58,0)</f>
        <v>33576.815567132791</v>
      </c>
      <c r="H58" s="65">
        <f>IFERROR(VLOOKUP("Po-214",$A$4:$L$32,8)/$B58,0)</f>
        <v>953.17650203727749</v>
      </c>
      <c r="I58" s="66">
        <f>IFERROR(VLOOKUP("Po-214",$A$4:$L$32,9)/$B58,0)</f>
        <v>1535.4603265702276</v>
      </c>
      <c r="J58" s="66">
        <f>IFERROR(VLOOKUP("Po-214",$A$4:$L$32,10)/$B58,0)</f>
        <v>1104.9003206625903</v>
      </c>
      <c r="K58" s="66">
        <f>IFERROR(VLOOKUP("Po-214",$A$4:$L$32,11)/$B58,0)</f>
        <v>1077.2757801333491</v>
      </c>
      <c r="L58" s="66">
        <f>IFERROR(VLOOKUP("Po-214",$A$4:$L$32,12)/$B58,0)</f>
        <v>1242.3421759839146</v>
      </c>
      <c r="M58" s="65">
        <f>IFERROR(VLOOKUP("Po-214",$A$4:$R$32,13)/$B58,0)</f>
        <v>7.7181535137937305E-5</v>
      </c>
      <c r="N58" s="66">
        <f>IFERROR(VLOOKUP("Po-214",$A$4:$R$32,14)/$B58,0)</f>
        <v>1.243307875244432E-7</v>
      </c>
      <c r="O58" s="66">
        <f>IFERROR(VLOOKUP("Po-214",$A$4:$R$32,15)/$B58,0)</f>
        <v>8.9467063802840983E-5</v>
      </c>
      <c r="P58" s="66">
        <f>IFERROR(VLOOKUP("Po-214",$A$4:$R$32,16)/$B58,0)</f>
        <v>8.7230222629175989E-5</v>
      </c>
      <c r="Q58" s="66">
        <f>IFERROR(VLOOKUP("Po-214",$A$4:$R$32,17)/$B58,0)</f>
        <v>1.0059613943912985E-4</v>
      </c>
      <c r="R58" s="90">
        <f t="shared" si="79"/>
        <v>9212761.9594213571</v>
      </c>
    </row>
    <row r="59" spans="1:18">
      <c r="A59" s="31" t="s">
        <v>160</v>
      </c>
      <c r="B59" s="32">
        <v>2.0999995799999999E-4</v>
      </c>
      <c r="C59" s="65">
        <f>IFERROR(VLOOKUP("Tl-210",$A$4:$L$32,3)/$B59,0)</f>
        <v>4290.8107546799365</v>
      </c>
      <c r="D59" s="66">
        <f>IFERROR(VLOOKUP("Tl-210",$A$4:$L$32,4)/$B59,0)</f>
        <v>5210.5262396409562</v>
      </c>
      <c r="E59" s="66">
        <f>IFERROR(VLOOKUP("Tl-210",$A$4:$L$32,5)/$B59,0)</f>
        <v>4374.4715129411079</v>
      </c>
      <c r="F59" s="66">
        <f>IFERROR(VLOOKUP("Tl-210",$A$4:$L$32,6)/$B59,0)</f>
        <v>4299.6709772191325</v>
      </c>
      <c r="G59" s="66">
        <f>IFERROR(VLOOKUP("Tl-210",$A$4:$L$32,7)/$B59,0)</f>
        <v>5028.4601851211482</v>
      </c>
      <c r="H59" s="65">
        <f>IFERROR(VLOOKUP("Tl-210",$A$4:$L$32,8)/$B59,0)</f>
        <v>158.75999792315781</v>
      </c>
      <c r="I59" s="66">
        <f>IFERROR(VLOOKUP("Tl-210",$A$4:$L$32,9)/$B59,0)</f>
        <v>192.78947086671559</v>
      </c>
      <c r="J59" s="66">
        <f>IFERROR(VLOOKUP("Tl-210",$A$4:$L$32,10)/$B59,0)</f>
        <v>161.85544597882117</v>
      </c>
      <c r="K59" s="66">
        <f>IFERROR(VLOOKUP("Tl-210",$A$4:$L$32,11)/$B59,0)</f>
        <v>159.08782615710808</v>
      </c>
      <c r="L59" s="66">
        <f>IFERROR(VLOOKUP("Tl-210",$A$4:$L$32,12)/$B59,0)</f>
        <v>186.05302684948268</v>
      </c>
      <c r="M59" s="65">
        <f>IFERROR(VLOOKUP("Tl-210",$A$4:$R$32,13)/$B59,0)</f>
        <v>1.261498361875901E-5</v>
      </c>
      <c r="N59" s="66">
        <f>IFERROR(VLOOKUP("Tl-210",$A$4:$R$32,14)/$B59,0)</f>
        <v>1.5318947144544412E-8</v>
      </c>
      <c r="O59" s="66">
        <f>IFERROR(VLOOKUP("Tl-210",$A$4:$R$32,15)/$B59,0)</f>
        <v>1.2860946248046858E-5</v>
      </c>
      <c r="P59" s="66">
        <f>IFERROR(VLOOKUP("Tl-210",$A$4:$R$32,16)/$B59,0)</f>
        <v>1.2641032673024249E-5</v>
      </c>
      <c r="Q59" s="66">
        <f>IFERROR(VLOOKUP("Tl-210",$A$4:$R$32,17)/$B59,0)</f>
        <v>1.4783672944256174E-5</v>
      </c>
      <c r="R59" s="90">
        <f t="shared" si="79"/>
        <v>1156736.8252002923</v>
      </c>
    </row>
    <row r="60" spans="1:18">
      <c r="A60" s="31" t="s">
        <v>161</v>
      </c>
      <c r="B60" s="32">
        <v>1</v>
      </c>
      <c r="C60" s="65">
        <f>IFERROR(VLOOKUP("Pb-210",$A$4:$L$32,3)/$B60,0)</f>
        <v>21.351505948955445</v>
      </c>
      <c r="D60" s="66">
        <f>IFERROR(VLOOKUP("Pb-210",$A$4:$L$32,4)/$B60,0)</f>
        <v>4.7051409522604022</v>
      </c>
      <c r="E60" s="66">
        <f>IFERROR(VLOOKUP("Pb-210",$A$4:$L$32,5)/$B60,0)</f>
        <v>9.6297466262533646</v>
      </c>
      <c r="F60" s="66">
        <f>IFERROR(VLOOKUP("Pb-210",$A$4:$L$32,6)/$B60,0)</f>
        <v>9.7364001528573159</v>
      </c>
      <c r="G60" s="66">
        <f>IFERROR(VLOOKUP("Pb-210",$A$4:$L$32,7)/$B60,0)</f>
        <v>10.360881752070746</v>
      </c>
      <c r="H60" s="65">
        <f>IFERROR(VLOOKUP("Pb-210",$A$4:$L$32,8)/$B60,0)</f>
        <v>0.79000572011135228</v>
      </c>
      <c r="I60" s="66">
        <f>IFERROR(VLOOKUP("Pb-210",$A$4:$L$32,9)/$B60,0)</f>
        <v>0.17409021523363505</v>
      </c>
      <c r="J60" s="66">
        <f>IFERROR(VLOOKUP("Pb-210",$A$4:$L$32,10)/$B60,0)</f>
        <v>0.35630062517137484</v>
      </c>
      <c r="K60" s="66">
        <f>IFERROR(VLOOKUP("Pb-210",$A$4:$L$32,11)/$B60,0)</f>
        <v>0.36024680565572104</v>
      </c>
      <c r="L60" s="66">
        <f>IFERROR(VLOOKUP("Pb-210",$A$4:$L$32,12)/$B60,0)</f>
        <v>0.38335262482661797</v>
      </c>
      <c r="M60" s="65">
        <f>IFERROR(VLOOKUP("Pb-210",$A$4:$R$32,13)/$B60,0)</f>
        <v>6.2773427489929008E-8</v>
      </c>
      <c r="N60" s="66">
        <f>IFERROR(VLOOKUP("Pb-210",$A$4:$R$32,14)/$B60,0)</f>
        <v>1.3833114399645583E-11</v>
      </c>
      <c r="O60" s="66">
        <f>IFERROR(VLOOKUP("Pb-210",$A$4:$R$32,15)/$B60,0)</f>
        <v>2.8311455081184893E-8</v>
      </c>
      <c r="P60" s="66">
        <f>IFERROR(VLOOKUP("Pb-210",$A$4:$R$32,16)/$B60,0)</f>
        <v>2.8625016449400505E-8</v>
      </c>
      <c r="Q60" s="66">
        <f>IFERROR(VLOOKUP("Pb-210",$A$4:$R$32,17)/$B60,0)</f>
        <v>3.0460992351087991E-8</v>
      </c>
      <c r="R60" s="90">
        <f t="shared" si="79"/>
        <v>1044.5412914018095</v>
      </c>
    </row>
    <row r="61" spans="1:18">
      <c r="A61" s="31" t="s">
        <v>162</v>
      </c>
      <c r="B61" s="32">
        <v>1</v>
      </c>
      <c r="C61" s="65">
        <f>IFERROR(VLOOKUP("Bi-210",$A$4:$L$32,3)/$B61,0)</f>
        <v>2550031.2816509944</v>
      </c>
      <c r="D61" s="66">
        <f>IFERROR(VLOOKUP("Bi-210",$A$4:$L$32,4)/$B61,0)</f>
        <v>2512332.3204800002</v>
      </c>
      <c r="E61" s="66">
        <f>IFERROR(VLOOKUP("Bi-210",$A$4:$L$32,5)/$B61,0)</f>
        <v>2159181.0792490621</v>
      </c>
      <c r="F61" s="66">
        <f>IFERROR(VLOOKUP("Bi-210",$A$4:$L$32,6)/$B61,0)</f>
        <v>2158126.1921277572</v>
      </c>
      <c r="G61" s="66">
        <f>IFERROR(VLOOKUP("Bi-210",$A$4:$L$32,7)/$B61,0)</f>
        <v>2547078.9422842553</v>
      </c>
      <c r="H61" s="65">
        <f>IFERROR(VLOOKUP("Bi-210",$A$4:$L$32,8)/$B61,0)</f>
        <v>94351.157421086886</v>
      </c>
      <c r="I61" s="66">
        <f>IFERROR(VLOOKUP("Bi-210",$A$4:$L$32,9)/$B61,0)</f>
        <v>92956.295857760109</v>
      </c>
      <c r="J61" s="66">
        <f>IFERROR(VLOOKUP("Bi-210",$A$4:$L$32,10)/$B61,0)</f>
        <v>79889.699932215386</v>
      </c>
      <c r="K61" s="66">
        <f>IFERROR(VLOOKUP("Bi-210",$A$4:$L$32,11)/$B61,0)</f>
        <v>79850.669108727103</v>
      </c>
      <c r="L61" s="66">
        <f>IFERROR(VLOOKUP("Bi-210",$A$4:$L$32,12)/$B61,0)</f>
        <v>94241.920864517539</v>
      </c>
      <c r="M61" s="65">
        <f>IFERROR(VLOOKUP("Bi-210",$A$4:$R$32,13)/$B61,0)</f>
        <v>7.4970919680539226E-3</v>
      </c>
      <c r="N61" s="66">
        <f>IFERROR(VLOOKUP("Bi-210",$A$4:$R$32,14)/$B61,0)</f>
        <v>7.386257022211201E-6</v>
      </c>
      <c r="O61" s="66">
        <f>IFERROR(VLOOKUP("Bi-210",$A$4:$R$32,15)/$B61,0)</f>
        <v>6.3479923729922415E-3</v>
      </c>
      <c r="P61" s="66">
        <f>IFERROR(VLOOKUP("Bi-210",$A$4:$R$32,16)/$B61,0)</f>
        <v>6.3448910048556056E-3</v>
      </c>
      <c r="Q61" s="66">
        <f>IFERROR(VLOOKUP("Bi-210",$A$4:$R$32,17)/$B61,0)</f>
        <v>7.4884120903157096E-3</v>
      </c>
      <c r="R61" s="90">
        <f t="shared" si="79"/>
        <v>557737775.14656007</v>
      </c>
    </row>
    <row r="62" spans="1:18">
      <c r="A62" s="31" t="s">
        <v>164</v>
      </c>
      <c r="B62" s="32">
        <v>1</v>
      </c>
      <c r="C62" s="65">
        <f>IFERROR(VLOOKUP("Po-210",$A$4:$L$32,3)/$B62,0)</f>
        <v>221526.71900752946</v>
      </c>
      <c r="D62" s="66">
        <f>IFERROR(VLOOKUP("Po-210",$A$4:$L$32,4)/$B62,0)</f>
        <v>356983.28427726222</v>
      </c>
      <c r="E62" s="66">
        <f>IFERROR(VLOOKUP("Po-210",$A$4:$L$32,5)/$B62,0)</f>
        <v>256905.84128799141</v>
      </c>
      <c r="F62" s="66">
        <f>IFERROR(VLOOKUP("Po-210",$A$4:$L$32,6)/$B62,0)</f>
        <v>250796.37987105895</v>
      </c>
      <c r="G62" s="66">
        <f>IFERROR(VLOOKUP("Po-210",$A$4:$L$32,7)/$B62,0)</f>
        <v>289037.77524255606</v>
      </c>
      <c r="H62" s="65">
        <f>IFERROR(VLOOKUP("Po-210",$A$4:$L$32,8)/$B62,0)</f>
        <v>8196.488603278598</v>
      </c>
      <c r="I62" s="66">
        <f>IFERROR(VLOOKUP("Po-210",$A$4:$L$32,9)/$B62,0)</f>
        <v>13208.381518258715</v>
      </c>
      <c r="J62" s="66">
        <f>IFERROR(VLOOKUP("Po-210",$A$4:$L$32,10)/$B62,0)</f>
        <v>9505.5161276556919</v>
      </c>
      <c r="K62" s="66">
        <f>IFERROR(VLOOKUP("Po-210",$A$4:$L$32,11)/$B62,0)</f>
        <v>9279.4660552291898</v>
      </c>
      <c r="L62" s="66">
        <f>IFERROR(VLOOKUP("Po-210",$A$4:$L$32,12)/$B62,0)</f>
        <v>10694.397683974585</v>
      </c>
      <c r="M62" s="65">
        <f>IFERROR(VLOOKUP("Po-210",$A$4:$R$32,13)/$B62,0)</f>
        <v>6.5128855388213653E-4</v>
      </c>
      <c r="N62" s="66">
        <f>IFERROR(VLOOKUP("Po-210",$A$4:$R$32,14)/$B62,0)</f>
        <v>1.0495308557751511E-6</v>
      </c>
      <c r="O62" s="66">
        <f>IFERROR(VLOOKUP("Po-210",$A$4:$R$32,15)/$B62,0)</f>
        <v>7.5530317338669479E-4</v>
      </c>
      <c r="P62" s="66">
        <f>IFERROR(VLOOKUP("Po-210",$A$4:$R$32,16)/$B62,0)</f>
        <v>7.3734135682091318E-4</v>
      </c>
      <c r="Q62" s="66">
        <f>IFERROR(VLOOKUP("Po-210",$A$4:$R$32,17)/$B62,0)</f>
        <v>8.497710592131147E-4</v>
      </c>
      <c r="R62" s="90">
        <f>IF(D62&lt;&gt;".",D62*2.22*100,".")</f>
        <v>79250289.10955222</v>
      </c>
    </row>
    <row r="63" spans="1:18">
      <c r="A63" s="31" t="s">
        <v>163</v>
      </c>
      <c r="B63" s="34">
        <v>1.9000000000000001E-8</v>
      </c>
      <c r="C63" s="65">
        <f>IFERROR(VLOOKUP("Hg-206",$A$4:$L$32,3)/$B63,0)</f>
        <v>388666414.71831822</v>
      </c>
      <c r="D63" s="66">
        <f>IFERROR(VLOOKUP("Hg-206",$A$4:$L$32,4)/$B63,0)</f>
        <v>360647863.2608484</v>
      </c>
      <c r="E63" s="66">
        <f>IFERROR(VLOOKUP("Hg-206",$A$4:$L$32,5)/$B63,0)</f>
        <v>317094179.39389831</v>
      </c>
      <c r="F63" s="66">
        <f>IFERROR(VLOOKUP("Hg-206",$A$4:$L$32,6)/$B63,0)</f>
        <v>320449843.94884729</v>
      </c>
      <c r="G63" s="66">
        <f>IFERROR(VLOOKUP("Hg-206",$A$4:$L$32,7)/$B63,0)</f>
        <v>379571498.80087131</v>
      </c>
      <c r="H63" s="65">
        <f>IFERROR(VLOOKUP("Hg-206",$A$4:$L$32,8)/$B63,0)</f>
        <v>14380657.344577791</v>
      </c>
      <c r="I63" s="66">
        <f>IFERROR(VLOOKUP("Hg-206",$A$4:$L$32,9)/$B63,0)</f>
        <v>13343970.940651404</v>
      </c>
      <c r="J63" s="66">
        <f>IFERROR(VLOOKUP("Hg-206",$A$4:$L$32,10)/$B63,0)</f>
        <v>11732484.63757425</v>
      </c>
      <c r="K63" s="66">
        <f>IFERROR(VLOOKUP("Hg-206",$A$4:$L$32,11)/$B63,0)</f>
        <v>11856644.226107361</v>
      </c>
      <c r="L63" s="66">
        <f>IFERROR(VLOOKUP("Hg-206",$A$4:$L$32,12)/$B63,0)</f>
        <v>14044145.455632253</v>
      </c>
      <c r="M63" s="65">
        <f>IFERROR(VLOOKUP("Hg-206",$A$4:$R$32,13)/$B63,0)</f>
        <v>1.1209139400476298</v>
      </c>
      <c r="N63" s="66">
        <f>IFERROR(VLOOKUP("Hg-206",$A$4:$R$32,14)/$B63,0)</f>
        <v>1.0401084376442868E-3</v>
      </c>
      <c r="O63" s="66">
        <f>IFERROR(VLOOKUP("Hg-206",$A$4:$R$32,15)/$B63,0)</f>
        <v>0.9144996133720027</v>
      </c>
      <c r="P63" s="66">
        <f>IFERROR(VLOOKUP("Hg-206",$A$4:$R$32,16)/$B63,0)</f>
        <v>0.92417734994847556</v>
      </c>
      <c r="Q63" s="66">
        <f>IFERROR(VLOOKUP("Hg-206",$A$4:$R$32,17)/$B63,0)</f>
        <v>1.0946842025417125</v>
      </c>
      <c r="R63" s="90">
        <f t="shared" si="79"/>
        <v>80063825643.908356</v>
      </c>
    </row>
    <row r="64" spans="1:18">
      <c r="A64" s="31" t="s">
        <v>165</v>
      </c>
      <c r="B64" s="32">
        <v>1.339E-6</v>
      </c>
      <c r="C64" s="65">
        <f>IFERROR(VLOOKUP("Tl-206",$A$4:$L$32,3)/$B64,0)</f>
        <v>3533439977.9744945</v>
      </c>
      <c r="D64" s="66">
        <f>IFERROR(VLOOKUP("Tl-206",$A$4:$L$32,4)/$B64,0)</f>
        <v>1568499934.6595252</v>
      </c>
      <c r="E64" s="66">
        <f>IFERROR(VLOOKUP("Tl-206",$A$4:$L$32,5)/$B64,0)</f>
        <v>1939050713.1047513</v>
      </c>
      <c r="F64" s="66">
        <f>IFERROR(VLOOKUP("Tl-206",$A$4:$L$32,6)/$B64,0)</f>
        <v>2447063597.6084442</v>
      </c>
      <c r="G64" s="66">
        <f>IFERROR(VLOOKUP("Tl-206",$A$4:$L$32,7)/$B64,0)</f>
        <v>2335720124.5948763</v>
      </c>
      <c r="H64" s="65">
        <f>IFERROR(VLOOKUP("Tl-206",$A$4:$L$32,8)/$B64,0)</f>
        <v>130737279.18505643</v>
      </c>
      <c r="I64" s="66">
        <f>IFERROR(VLOOKUP("Tl-206",$A$4:$L$32,9)/$B64,0)</f>
        <v>58034497.58240249</v>
      </c>
      <c r="J64" s="66">
        <f>IFERROR(VLOOKUP("Tl-206",$A$4:$L$32,10)/$B64,0)</f>
        <v>71744876.384875864</v>
      </c>
      <c r="K64" s="66">
        <f>IFERROR(VLOOKUP("Tl-206",$A$4:$L$32,11)/$B64,0)</f>
        <v>90541353.111512527</v>
      </c>
      <c r="L64" s="66">
        <f>IFERROR(VLOOKUP("Tl-206",$A$4:$L$32,12)/$B64,0)</f>
        <v>86421644.61001052</v>
      </c>
      <c r="M64" s="65">
        <f>IFERROR(VLOOKUP("Tl-206",$A$4:$R$32,13)/$B64,0)</f>
        <v>10.190440896478442</v>
      </c>
      <c r="N64" s="66">
        <f>IFERROR(VLOOKUP("Tl-206",$A$4:$R$32,14)/$B64,0)</f>
        <v>4.5235538115580712E-3</v>
      </c>
      <c r="O64" s="66">
        <f>IFERROR(VLOOKUP("Tl-206",$A$4:$R$32,15)/$B64,0)</f>
        <v>5.5922222565941029</v>
      </c>
      <c r="P64" s="66">
        <f>IFERROR(VLOOKUP("Tl-206",$A$4:$R$32,16)/$B64,0)</f>
        <v>7.0573314155027527</v>
      </c>
      <c r="Q64" s="66">
        <f>IFERROR(VLOOKUP("Tl-206",$A$4:$R$32,17)/$B64,0)</f>
        <v>6.7362168393316217</v>
      </c>
      <c r="R64" s="90">
        <f t="shared" ref="R64:R68" si="83">IF(D64&lt;&gt;".",D64*2.22*100,".")</f>
        <v>348206985494.41461</v>
      </c>
    </row>
    <row r="65" spans="1:18">
      <c r="A65" s="30" t="s">
        <v>31</v>
      </c>
      <c r="B65" s="30" t="s">
        <v>50</v>
      </c>
      <c r="C65" s="71">
        <f>IFERROR(1/SUM(1/C66,1/C69,1/C70,1/C71,1/C72,1/C73,1/C74,1/C75,1/C76,1/C77,1/C78),0)</f>
        <v>1.2447522742584485</v>
      </c>
      <c r="D65" s="72">
        <f t="shared" ref="D65:G65" si="84">IFERROR(1/SUM(1/D66,1/D69,1/D70,1/D71,1/D72,1/D73,1/D74,1/D75,1/D76,1/D77,1/D78),0)</f>
        <v>1.1342421789972739</v>
      </c>
      <c r="E65" s="72">
        <f t="shared" si="84"/>
        <v>1.1249010870562479</v>
      </c>
      <c r="F65" s="72">
        <f t="shared" si="84"/>
        <v>1.1116022757173105</v>
      </c>
      <c r="G65" s="73">
        <f t="shared" si="84"/>
        <v>1.297888154596248</v>
      </c>
      <c r="H65" s="71">
        <f>IFERROR(1/SUM(1/H66,1/H69,1/H70,1/H71,1/H72,1/H73,1/H74,1/H75,1/H76,1/H77,1/H78),0)</f>
        <v>4.6055834147562626E-2</v>
      </c>
      <c r="I65" s="72">
        <f t="shared" ref="I65:L65" si="85">IFERROR(1/SUM(1/I66,1/I69,1/I70,1/I71,1/I72,1/I73,1/I74,1/I75,1/I76,1/I77,1/I78),0)</f>
        <v>4.196696062289916E-2</v>
      </c>
      <c r="J65" s="72">
        <f t="shared" si="85"/>
        <v>4.1621340221081216E-2</v>
      </c>
      <c r="K65" s="72">
        <f t="shared" si="85"/>
        <v>4.1129284201540543E-2</v>
      </c>
      <c r="L65" s="73">
        <f t="shared" si="85"/>
        <v>4.8021861720061232E-2</v>
      </c>
      <c r="M65" s="20">
        <f>IFERROR(C65*VLOOKUP("Rn-222",Isospec!$A$3:$R$31,3)*VLOOKUP("Rn-222",Isospec!$A$3:$R$31,6)*s_SSLgram,".")</f>
        <v>3.8686900683952579E-9</v>
      </c>
      <c r="N65" s="19">
        <f>IFERROR(D65*VLOOKUP("Rn-222",Isospec!$A$3:$R$31,3)*VLOOKUP("Rn-222",Isospec!$A$3:$R$31,6)*s_SSLcm_m,".")</f>
        <v>3.5252246923235277E-12</v>
      </c>
      <c r="O65" s="19">
        <f>IFERROR(E65*VLOOKUP("Rn-222",Isospec!$A$3:$R$31,3)*VLOOKUP("Rn-222",Isospec!$A$3:$R$31,6)*s_SSLgram,".")</f>
        <v>3.496192578570818E-9</v>
      </c>
      <c r="P65" s="19">
        <f>IFERROR(F65*VLOOKUP("Rn-222",Isospec!$A$3:$R$31,3)*VLOOKUP("Rn-222",Isospec!$A$3:$R$31,6)*s_SSLgram,".")</f>
        <v>3.4548598729294012E-9</v>
      </c>
      <c r="Q65" s="21">
        <f>IFERROR(G65*VLOOKUP("Rn-222",Isospec!$A$3:$R$31,3)*VLOOKUP("Rn-222",Isospec!$A$3:$R$31,6)*s_SSLgram,".")</f>
        <v>4.0338363844851389E-9</v>
      </c>
      <c r="R65" s="89">
        <f t="shared" si="83"/>
        <v>251.80176373739482</v>
      </c>
    </row>
    <row r="66" spans="1:18">
      <c r="A66" s="31" t="s">
        <v>153</v>
      </c>
      <c r="B66" s="32">
        <v>1</v>
      </c>
      <c r="C66" s="65">
        <f>IFERROR(VLOOKUP("Rn-222",$A$4:$L$32,3)/$B66,0)</f>
        <v>3778.717474141803</v>
      </c>
      <c r="D66" s="66">
        <f>IFERROR(VLOOKUP("Rn-222",$A$4:$L$32,4)/$B66,0)</f>
        <v>5339.8592549120085</v>
      </c>
      <c r="E66" s="66">
        <f>IFERROR(VLOOKUP("Rn-222",$A$4:$L$32,5)/$B66,0)</f>
        <v>4083.5109580442449</v>
      </c>
      <c r="F66" s="66">
        <f>IFERROR(VLOOKUP("Rn-222",$A$4:$L$32,6)/$B66,0)</f>
        <v>3511.0557800007959</v>
      </c>
      <c r="G66" s="66">
        <f>IFERROR(VLOOKUP("Rn-222",$A$4:$L$32,7)/$B66,0)</f>
        <v>3765.3756173666447</v>
      </c>
      <c r="H66" s="65">
        <f>IFERROR(VLOOKUP("Rn-222",$A$4:$L$32,8)/$B66,0)</f>
        <v>139.81254654324684</v>
      </c>
      <c r="I66" s="66">
        <f>IFERROR(VLOOKUP("Rn-222",$A$4:$L$32,9)/$B66,0)</f>
        <v>197.57479243174453</v>
      </c>
      <c r="J66" s="66">
        <f>IFERROR(VLOOKUP("Rn-222",$A$4:$L$32,10)/$B66,0)</f>
        <v>151.08990544763722</v>
      </c>
      <c r="K66" s="66">
        <f>IFERROR(VLOOKUP("Rn-222",$A$4:$L$32,11)/$B66,0)</f>
        <v>129.90906386002959</v>
      </c>
      <c r="L66" s="66">
        <f>IFERROR(VLOOKUP("Rn-222",$A$4:$L$32,12)/$B66,0)</f>
        <v>139.318897842566</v>
      </c>
      <c r="M66" s="65">
        <f>IFERROR(VLOOKUP("Rn-222",$A$4:$R$32,13)/$B66,0)</f>
        <v>1.1744253909632721E-5</v>
      </c>
      <c r="N66" s="66">
        <f>IFERROR(VLOOKUP("Rn-222",$A$4:$R$32,14)/$B66,0)</f>
        <v>1.6596282564266521E-8</v>
      </c>
      <c r="O66" s="66">
        <f>IFERROR(VLOOKUP("Rn-222",$A$4:$R$32,15)/$B66,0)</f>
        <v>1.2691552057601511E-5</v>
      </c>
      <c r="P66" s="66">
        <f>IFERROR(VLOOKUP("Rn-222",$A$4:$R$32,16)/$B66,0)</f>
        <v>1.0912361364242474E-5</v>
      </c>
      <c r="Q66" s="66">
        <f>IFERROR(VLOOKUP("Rn-222",$A$4:$R$32,17)/$B66,0)</f>
        <v>1.1702787418775532E-5</v>
      </c>
      <c r="R66" s="90">
        <f t="shared" si="83"/>
        <v>1185448.7545904659</v>
      </c>
    </row>
    <row r="67" spans="1:18">
      <c r="A67" s="31" t="s">
        <v>154</v>
      </c>
      <c r="B67" s="32">
        <v>1</v>
      </c>
      <c r="C67" s="65">
        <f>IFERROR(VLOOKUP("Po-218",$A$4:$L$32,3)/$B67,0)</f>
        <v>0</v>
      </c>
      <c r="D67" s="66">
        <f>IFERROR(VLOOKUP("Po-218",$A$4:$L$32,4)/$B67,0)</f>
        <v>0</v>
      </c>
      <c r="E67" s="66">
        <f>IFERROR(VLOOKUP("Po-218",$A$4:$L$32,5)/$B67,0)</f>
        <v>0</v>
      </c>
      <c r="F67" s="66">
        <f>IFERROR(VLOOKUP("Po-218",$A$4:$L$32,6)/$B67,0)</f>
        <v>0</v>
      </c>
      <c r="G67" s="66">
        <f>IFERROR(VLOOKUP("Po-218",$A$4:$L$32,7)/$B67,0)</f>
        <v>0</v>
      </c>
      <c r="H67" s="65">
        <f>IFERROR(VLOOKUP("Po-218",$A$4:$L$32,8)/$B67,0)</f>
        <v>0</v>
      </c>
      <c r="I67" s="66">
        <f>IFERROR(VLOOKUP("Po-218",$A$4:$L$32,9)/$B67,0)</f>
        <v>0</v>
      </c>
      <c r="J67" s="66">
        <f>IFERROR(VLOOKUP("Po-218",$A$4:$L$32,10)/$B67,0)</f>
        <v>0</v>
      </c>
      <c r="K67" s="66">
        <f>IFERROR(VLOOKUP("Po-218",$A$4:$L$32,11)/$B67,0)</f>
        <v>0</v>
      </c>
      <c r="L67" s="66">
        <f>IFERROR(VLOOKUP("Po-218",$A$4:$L$32,12)/$B67,0)</f>
        <v>0</v>
      </c>
      <c r="M67" s="65">
        <f>IFERROR(VLOOKUP("Po-218",$A$4:$R$32,13)/$B67,0)</f>
        <v>0</v>
      </c>
      <c r="N67" s="66">
        <f>IFERROR(VLOOKUP("Po-218",$A$4:$R$32,14)/$B67,0)</f>
        <v>0</v>
      </c>
      <c r="O67" s="66">
        <f>IFERROR(VLOOKUP("Po-218",$A$4:$R$32,15)/$B67,0)</f>
        <v>0</v>
      </c>
      <c r="P67" s="66">
        <f>IFERROR(VLOOKUP("Po-218",$A$4:$R$32,16)/$B67,0)</f>
        <v>0</v>
      </c>
      <c r="Q67" s="66">
        <f>IFERROR(VLOOKUP("Po-218",$A$4:$R$32,17)/$B67,0)</f>
        <v>0</v>
      </c>
      <c r="R67" s="90">
        <f t="shared" si="83"/>
        <v>0</v>
      </c>
    </row>
    <row r="68" spans="1:18">
      <c r="A68" s="31" t="s">
        <v>156</v>
      </c>
      <c r="B68" s="32">
        <v>2.0000000000000001E-4</v>
      </c>
      <c r="C68" s="65">
        <f>IFERROR(VLOOKUP("At-218",$A$4:$L$32,3)/$B68,0)</f>
        <v>0</v>
      </c>
      <c r="D68" s="66">
        <f>IFERROR(VLOOKUP("At-218",$A$4:$L$32,4)/$B68,0)</f>
        <v>0</v>
      </c>
      <c r="E68" s="66">
        <f>IFERROR(VLOOKUP("At-218",$A$4:$L$32,5)/$B68,0)</f>
        <v>0</v>
      </c>
      <c r="F68" s="66">
        <f>IFERROR(VLOOKUP("At-218",$A$4:$L$32,6)/$B68,0)</f>
        <v>0</v>
      </c>
      <c r="G68" s="66">
        <f>IFERROR(VLOOKUP("At-218",$A$4:$L$32,7)/$B68,0)</f>
        <v>0</v>
      </c>
      <c r="H68" s="65">
        <f>IFERROR(VLOOKUP("At-218",$A$4:$L$32,8)/$B68,0)</f>
        <v>0</v>
      </c>
      <c r="I68" s="66">
        <f>IFERROR(VLOOKUP("At-218",$A$4:$L$32,9)/$B68,0)</f>
        <v>0</v>
      </c>
      <c r="J68" s="66">
        <f>IFERROR(VLOOKUP("At-218",$A$4:$L$32,10)/$B68,0)</f>
        <v>0</v>
      </c>
      <c r="K68" s="66">
        <f>IFERROR(VLOOKUP("At-218",$A$4:$L$32,11)/$B68,0)</f>
        <v>0</v>
      </c>
      <c r="L68" s="66">
        <f>IFERROR(VLOOKUP("At-218",$A$4:$L$32,12)/$B68,0)</f>
        <v>0</v>
      </c>
      <c r="M68" s="65">
        <f>IFERROR(VLOOKUP("At-218",$A$4:$R$32,13)/$B68,0)</f>
        <v>0</v>
      </c>
      <c r="N68" s="66">
        <f>IFERROR(VLOOKUP("At-218",$A$4:$R$32,14)/$B68,0)</f>
        <v>0</v>
      </c>
      <c r="O68" s="66">
        <f>IFERROR(VLOOKUP("At-218",$A$4:$R$32,15)/$B68,0)</f>
        <v>0</v>
      </c>
      <c r="P68" s="66">
        <f>IFERROR(VLOOKUP("At-218",$A$4:$R$32,16)/$B68,0)</f>
        <v>0</v>
      </c>
      <c r="Q68" s="66">
        <f>IFERROR(VLOOKUP("At-218",$A$4:$R$32,17)/$B68,0)</f>
        <v>0</v>
      </c>
      <c r="R68" s="90">
        <f t="shared" si="83"/>
        <v>0</v>
      </c>
    </row>
    <row r="69" spans="1:18">
      <c r="A69" s="31" t="s">
        <v>158</v>
      </c>
      <c r="B69" s="32">
        <v>1.9999999999999999E-7</v>
      </c>
      <c r="C69" s="65">
        <f>IFERROR(VLOOKUP("Rn-218",$A$4:$L$32,3)/$B69,0)</f>
        <v>11756968458.316139</v>
      </c>
      <c r="D69" s="66">
        <f>IFERROR(VLOOKUP("Rn-218",$A$4:$L$32,4)/$B69,0)</f>
        <v>16854221529.806067</v>
      </c>
      <c r="E69" s="66">
        <f>IFERROR(VLOOKUP("Rn-218",$A$4:$L$32,5)/$B69,0)</f>
        <v>12390737271.646015</v>
      </c>
      <c r="F69" s="66">
        <f>IFERROR(VLOOKUP("Rn-218",$A$4:$L$32,6)/$B69,0)</f>
        <v>11292190608.750484</v>
      </c>
      <c r="G69" s="66">
        <f>IFERROR(VLOOKUP("Rn-218",$A$4:$L$32,7)/$B69,0)</f>
        <v>14301360755.358089</v>
      </c>
      <c r="H69" s="65">
        <f>IFERROR(VLOOKUP("Rn-218",$A$4:$L$32,8)/$B69,0)</f>
        <v>435007832.95769757</v>
      </c>
      <c r="I69" s="66">
        <f>IFERROR(VLOOKUP("Rn-218",$A$4:$L$32,9)/$B69,0)</f>
        <v>623606196.60282516</v>
      </c>
      <c r="J69" s="66">
        <f>IFERROR(VLOOKUP("Rn-218",$A$4:$L$32,10)/$B69,0)</f>
        <v>458457279.05090302</v>
      </c>
      <c r="K69" s="66">
        <f>IFERROR(VLOOKUP("Rn-218",$A$4:$L$32,11)/$B69,0)</f>
        <v>417811052.52376837</v>
      </c>
      <c r="L69" s="66">
        <f>IFERROR(VLOOKUP("Rn-218",$A$4:$L$32,12)/$B69,0)</f>
        <v>529150347.94824988</v>
      </c>
      <c r="M69" s="65">
        <f>IFERROR(VLOOKUP("Rn-218",$A$4:$R$32,13)/$B69,0)</f>
        <v>35.882267734780854</v>
      </c>
      <c r="N69" s="66">
        <f>IFERROR(VLOOKUP("Rn-218",$A$4:$R$32,14)/$B69,0)</f>
        <v>5.1439084108968115E-2</v>
      </c>
      <c r="O69" s="66">
        <f>IFERROR(VLOOKUP("Rn-218",$A$4:$R$32,15)/$B69,0)</f>
        <v>37.816530153063638</v>
      </c>
      <c r="P69" s="66">
        <f>IFERROR(VLOOKUP("Rn-218",$A$4:$R$32,16)/$B69,0)</f>
        <v>34.463765737906478</v>
      </c>
      <c r="Q69" s="66">
        <f>IFERROR(VLOOKUP("Rn-218",$A$4:$R$32,17)/$B69,0)</f>
        <v>43.647753025352891</v>
      </c>
      <c r="R69" s="90">
        <f>IF(D69&lt;&gt;".",D69*2.22*100,".")</f>
        <v>3741637179616.9473</v>
      </c>
    </row>
    <row r="70" spans="1:18">
      <c r="A70" s="31" t="s">
        <v>155</v>
      </c>
      <c r="B70" s="32">
        <v>0.99980000000000002</v>
      </c>
      <c r="C70" s="65">
        <f>IFERROR(VLOOKUP("Pb-214",$A$4:$L$32,3)/$B70,0)</f>
        <v>3.3942625379348028</v>
      </c>
      <c r="D70" s="66">
        <f>IFERROR(VLOOKUP("Pb-214",$A$4:$L$32,4)/$B70,0)</f>
        <v>2.8383560457972865</v>
      </c>
      <c r="E70" s="66">
        <f>IFERROR(VLOOKUP("Pb-214",$A$4:$L$32,5)/$B70,0)</f>
        <v>2.7348620446770595</v>
      </c>
      <c r="F70" s="66">
        <f>IFERROR(VLOOKUP("Pb-214",$A$4:$L$32,6)/$B70,0)</f>
        <v>2.7699045031074623</v>
      </c>
      <c r="G70" s="66">
        <f>IFERROR(VLOOKUP("Pb-214",$A$4:$L$32,7)/$B70,0)</f>
        <v>3.2367688501928567</v>
      </c>
      <c r="H70" s="65">
        <f>IFERROR(VLOOKUP("Pb-214",$A$4:$L$32,8)/$B70,0)</f>
        <v>0.12558771390358783</v>
      </c>
      <c r="I70" s="66">
        <f>IFERROR(VLOOKUP("Pb-214",$A$4:$L$32,9)/$B70,0)</f>
        <v>0.1050191736944997</v>
      </c>
      <c r="J70" s="66">
        <f>IFERROR(VLOOKUP("Pb-214",$A$4:$L$32,10)/$B70,0)</f>
        <v>0.1011898956530513</v>
      </c>
      <c r="K70" s="66">
        <f>IFERROR(VLOOKUP("Pb-214",$A$4:$L$32,11)/$B70,0)</f>
        <v>0.10248646661497621</v>
      </c>
      <c r="L70" s="66">
        <f>IFERROR(VLOOKUP("Pb-214",$A$4:$L$32,12)/$B70,0)</f>
        <v>0.11976044745713582</v>
      </c>
      <c r="M70" s="65">
        <f>IFERROR(VLOOKUP("Pb-214",$A$4:$R$32,13)/$B70,0)</f>
        <v>1.0169210563652671E-8</v>
      </c>
      <c r="N70" s="66">
        <f>IFERROR(VLOOKUP("Pb-214",$A$4:$R$32,14)/$B70,0)</f>
        <v>8.5037147132086706E-12</v>
      </c>
      <c r="O70" s="66">
        <f>IFERROR(VLOOKUP("Pb-214",$A$4:$R$32,15)/$B70,0)</f>
        <v>8.1936466858524706E-9</v>
      </c>
      <c r="P70" s="66">
        <f>IFERROR(VLOOKUP("Pb-214",$A$4:$R$32,16)/$B70,0)</f>
        <v>8.2986338913099543E-9</v>
      </c>
      <c r="Q70" s="66">
        <f>IFERROR(VLOOKUP("Pb-214",$A$4:$R$32,17)/$B70,0)</f>
        <v>9.6973594751777983E-9</v>
      </c>
      <c r="R70" s="90">
        <f>IF(D70&lt;&gt;".",D70*2.22*100,".")</f>
        <v>630.11504216699768</v>
      </c>
    </row>
    <row r="71" spans="1:18">
      <c r="A71" s="31" t="s">
        <v>157</v>
      </c>
      <c r="B71" s="32">
        <v>0.99999979999999999</v>
      </c>
      <c r="C71" s="65">
        <f>IFERROR(VLOOKUP("Bi-214",$A$4:$L$32,3)/$B71,0)</f>
        <v>2.1674043730218906</v>
      </c>
      <c r="D71" s="66">
        <f>IFERROR(VLOOKUP("Bi-214",$A$4:$L$32,4)/$B71,0)</f>
        <v>3.1606627620388279</v>
      </c>
      <c r="E71" s="66">
        <f>IFERROR(VLOOKUP("Bi-214",$A$4:$L$32,5)/$B71,0)</f>
        <v>2.3868532074607454</v>
      </c>
      <c r="F71" s="66">
        <f>IFERROR(VLOOKUP("Bi-214",$A$4:$L$32,6)/$B71,0)</f>
        <v>2.2971844536541579</v>
      </c>
      <c r="G71" s="66">
        <f>IFERROR(VLOOKUP("Bi-214",$A$4:$L$32,7)/$B71,0)</f>
        <v>2.7433535065179977</v>
      </c>
      <c r="H71" s="65">
        <f>IFERROR(VLOOKUP("Bi-214",$A$4:$L$32,8)/$B71,0)</f>
        <v>8.0193961801810029E-2</v>
      </c>
      <c r="I71" s="66">
        <f>IFERROR(VLOOKUP("Bi-214",$A$4:$L$32,9)/$B71,0)</f>
        <v>0.11694452219543675</v>
      </c>
      <c r="J71" s="66">
        <f>IFERROR(VLOOKUP("Bi-214",$A$4:$L$32,10)/$B71,0)</f>
        <v>8.8313568676047657E-2</v>
      </c>
      <c r="K71" s="66">
        <f>IFERROR(VLOOKUP("Bi-214",$A$4:$L$32,11)/$B71,0)</f>
        <v>8.4995824785203927E-2</v>
      </c>
      <c r="L71" s="66">
        <f>IFERROR(VLOOKUP("Bi-214",$A$4:$L$32,12)/$B71,0)</f>
        <v>0.10150407974116601</v>
      </c>
      <c r="M71" s="65">
        <f>IFERROR(VLOOKUP("Bi-214",$A$4:$R$32,13)/$B71,0)</f>
        <v>6.4935435015735831E-9</v>
      </c>
      <c r="N71" s="66">
        <f>IFERROR(VLOOKUP("Bi-214",$A$4:$R$32,14)/$B71,0)</f>
        <v>9.4693456350683295E-12</v>
      </c>
      <c r="O71" s="66">
        <f>IFERROR(VLOOKUP("Bi-214",$A$4:$R$32,15)/$B71,0)</f>
        <v>7.1510122095523913E-9</v>
      </c>
      <c r="P71" s="66">
        <f>IFERROR(VLOOKUP("Bi-214",$A$4:$R$32,16)/$B71,0)</f>
        <v>6.8823646231478574E-9</v>
      </c>
      <c r="Q71" s="66">
        <f>IFERROR(VLOOKUP("Bi-214",$A$4:$R$32,17)/$B71,0)</f>
        <v>8.219087105527921E-9</v>
      </c>
      <c r="R71" s="90">
        <f t="shared" ref="R71:R75" si="86">IF(D71&lt;&gt;".",D71*2.22*100,".")</f>
        <v>701.66713317261986</v>
      </c>
    </row>
    <row r="72" spans="1:18">
      <c r="A72" s="31" t="s">
        <v>159</v>
      </c>
      <c r="B72" s="32">
        <v>0.99979000004200003</v>
      </c>
      <c r="C72" s="65">
        <f>IFERROR(VLOOKUP("Po-214",$A$4:$L$32,3)/$B72,0)</f>
        <v>25761.527082088553</v>
      </c>
      <c r="D72" s="66">
        <f>IFERROR(VLOOKUP("Po-214",$A$4:$L$32,4)/$B72,0)</f>
        <v>41498.927745141242</v>
      </c>
      <c r="E72" s="66">
        <f>IFERROR(VLOOKUP("Po-214",$A$4:$L$32,5)/$B72,0)</f>
        <v>29862.170828718623</v>
      </c>
      <c r="F72" s="66">
        <f>IFERROR(VLOOKUP("Po-214",$A$4:$L$32,6)/$B72,0)</f>
        <v>29115.561625225626</v>
      </c>
      <c r="G72" s="66">
        <f>IFERROR(VLOOKUP("Po-214",$A$4:$L$32,7)/$B72,0)</f>
        <v>33576.815567132791</v>
      </c>
      <c r="H72" s="65">
        <f>IFERROR(VLOOKUP("Po-214",$A$4:$L$32,8)/$B72,0)</f>
        <v>953.17650203727749</v>
      </c>
      <c r="I72" s="66">
        <f>IFERROR(VLOOKUP("Po-214",$A$4:$L$32,9)/$B72,0)</f>
        <v>1535.4603265702276</v>
      </c>
      <c r="J72" s="66">
        <f>IFERROR(VLOOKUP("Po-214",$A$4:$L$32,10)/$B72,0)</f>
        <v>1104.9003206625903</v>
      </c>
      <c r="K72" s="66">
        <f>IFERROR(VLOOKUP("Po-214",$A$4:$L$32,11)/$B72,0)</f>
        <v>1077.2757801333491</v>
      </c>
      <c r="L72" s="66">
        <f>IFERROR(VLOOKUP("Po-214",$A$4:$L$32,12)/$B72,0)</f>
        <v>1242.3421759839146</v>
      </c>
      <c r="M72" s="65">
        <f>IFERROR(VLOOKUP("Po-214",$A$4:$R$32,13)/$B72,0)</f>
        <v>7.7181535137937305E-5</v>
      </c>
      <c r="N72" s="66">
        <f>IFERROR(VLOOKUP("Po-214",$A$4:$R$32,14)/$B72,0)</f>
        <v>1.243307875244432E-7</v>
      </c>
      <c r="O72" s="66">
        <f>IFERROR(VLOOKUP("Po-214",$A$4:$R$32,15)/$B72,0)</f>
        <v>8.9467063802840983E-5</v>
      </c>
      <c r="P72" s="66">
        <f>IFERROR(VLOOKUP("Po-214",$A$4:$R$32,16)/$B72,0)</f>
        <v>8.7230222629175989E-5</v>
      </c>
      <c r="Q72" s="66">
        <f>IFERROR(VLOOKUP("Po-214",$A$4:$R$32,17)/$B72,0)</f>
        <v>1.0059613943912985E-4</v>
      </c>
      <c r="R72" s="90">
        <f t="shared" si="86"/>
        <v>9212761.9594213571</v>
      </c>
    </row>
    <row r="73" spans="1:18">
      <c r="A73" s="31" t="s">
        <v>160</v>
      </c>
      <c r="B73" s="32">
        <v>2.0999995799999999E-4</v>
      </c>
      <c r="C73" s="65">
        <f>IFERROR(VLOOKUP("Tl-210",$A$4:$L$32,3)/$B73,0)</f>
        <v>4290.8107546799365</v>
      </c>
      <c r="D73" s="66">
        <f>IFERROR(VLOOKUP("Tl-210",$A$4:$L$32,4)/$B73,0)</f>
        <v>5210.5262396409562</v>
      </c>
      <c r="E73" s="66">
        <f>IFERROR(VLOOKUP("Tl-210",$A$4:$L$32,5)/$B73,0)</f>
        <v>4374.4715129411079</v>
      </c>
      <c r="F73" s="66">
        <f>IFERROR(VLOOKUP("Tl-210",$A$4:$L$32,6)/$B73,0)</f>
        <v>4299.6709772191325</v>
      </c>
      <c r="G73" s="66">
        <f>IFERROR(VLOOKUP("Tl-210",$A$4:$L$32,7)/$B73,0)</f>
        <v>5028.4601851211482</v>
      </c>
      <c r="H73" s="65">
        <f>IFERROR(VLOOKUP("Tl-210",$A$4:$L$32,8)/$B73,0)</f>
        <v>158.75999792315781</v>
      </c>
      <c r="I73" s="66">
        <f>IFERROR(VLOOKUP("Tl-210",$A$4:$L$32,9)/$B73,0)</f>
        <v>192.78947086671559</v>
      </c>
      <c r="J73" s="66">
        <f>IFERROR(VLOOKUP("Tl-210",$A$4:$L$32,10)/$B73,0)</f>
        <v>161.85544597882117</v>
      </c>
      <c r="K73" s="66">
        <f>IFERROR(VLOOKUP("Tl-210",$A$4:$L$32,11)/$B73,0)</f>
        <v>159.08782615710808</v>
      </c>
      <c r="L73" s="66">
        <f>IFERROR(VLOOKUP("Tl-210",$A$4:$L$32,12)/$B73,0)</f>
        <v>186.05302684948268</v>
      </c>
      <c r="M73" s="65">
        <f>IFERROR(VLOOKUP("Tl-210",$A$4:$R$32,13)/$B73,0)</f>
        <v>1.261498361875901E-5</v>
      </c>
      <c r="N73" s="66">
        <f>IFERROR(VLOOKUP("Tl-210",$A$4:$R$32,14)/$B73,0)</f>
        <v>1.5318947144544412E-8</v>
      </c>
      <c r="O73" s="66">
        <f>IFERROR(VLOOKUP("Tl-210",$A$4:$R$32,15)/$B73,0)</f>
        <v>1.2860946248046858E-5</v>
      </c>
      <c r="P73" s="66">
        <f>IFERROR(VLOOKUP("Tl-210",$A$4:$R$32,16)/$B73,0)</f>
        <v>1.2641032673024249E-5</v>
      </c>
      <c r="Q73" s="66">
        <f>IFERROR(VLOOKUP("Tl-210",$A$4:$R$32,17)/$B73,0)</f>
        <v>1.4783672944256174E-5</v>
      </c>
      <c r="R73" s="90">
        <f t="shared" si="86"/>
        <v>1156736.8252002923</v>
      </c>
    </row>
    <row r="74" spans="1:18">
      <c r="A74" s="31" t="s">
        <v>161</v>
      </c>
      <c r="B74" s="32">
        <v>1</v>
      </c>
      <c r="C74" s="65">
        <f>IFERROR(VLOOKUP("Pb-210",$A$4:$L$32,3)/$B74,0)</f>
        <v>21.351505948955445</v>
      </c>
      <c r="D74" s="66">
        <f>IFERROR(VLOOKUP("Pb-210",$A$4:$L$32,4)/$B74,0)</f>
        <v>4.7051409522604022</v>
      </c>
      <c r="E74" s="66">
        <f>IFERROR(VLOOKUP("Pb-210",$A$4:$L$32,5)/$B74,0)</f>
        <v>9.6297466262533646</v>
      </c>
      <c r="F74" s="66">
        <f>IFERROR(VLOOKUP("Pb-210",$A$4:$L$32,6)/$B74,0)</f>
        <v>9.7364001528573159</v>
      </c>
      <c r="G74" s="66">
        <f>IFERROR(VLOOKUP("Pb-210",$A$4:$L$32,7)/$B74,0)</f>
        <v>10.360881752070746</v>
      </c>
      <c r="H74" s="65">
        <f>IFERROR(VLOOKUP("Pb-210",$A$4:$L$32,8)/$B74,0)</f>
        <v>0.79000572011135228</v>
      </c>
      <c r="I74" s="66">
        <f>IFERROR(VLOOKUP("Pb-210",$A$4:$L$32,9)/$B74,0)</f>
        <v>0.17409021523363505</v>
      </c>
      <c r="J74" s="66">
        <f>IFERROR(VLOOKUP("Pb-210",$A$4:$L$32,10)/$B74,0)</f>
        <v>0.35630062517137484</v>
      </c>
      <c r="K74" s="66">
        <f>IFERROR(VLOOKUP("Pb-210",$A$4:$L$32,11)/$B74,0)</f>
        <v>0.36024680565572104</v>
      </c>
      <c r="L74" s="66">
        <f>IFERROR(VLOOKUP("Pb-210",$A$4:$L$32,12)/$B74,0)</f>
        <v>0.38335262482661797</v>
      </c>
      <c r="M74" s="65">
        <f>IFERROR(VLOOKUP("Pb-210",$A$4:$R$32,13)/$B74,0)</f>
        <v>6.2773427489929008E-8</v>
      </c>
      <c r="N74" s="66">
        <f>IFERROR(VLOOKUP("Pb-210",$A$4:$R$32,14)/$B74,0)</f>
        <v>1.3833114399645583E-11</v>
      </c>
      <c r="O74" s="66">
        <f>IFERROR(VLOOKUP("Pb-210",$A$4:$R$32,15)/$B74,0)</f>
        <v>2.8311455081184893E-8</v>
      </c>
      <c r="P74" s="66">
        <f>IFERROR(VLOOKUP("Pb-210",$A$4:$R$32,16)/$B74,0)</f>
        <v>2.8625016449400505E-8</v>
      </c>
      <c r="Q74" s="66">
        <f>IFERROR(VLOOKUP("Pb-210",$A$4:$R$32,17)/$B74,0)</f>
        <v>3.0460992351087991E-8</v>
      </c>
      <c r="R74" s="90">
        <f t="shared" si="86"/>
        <v>1044.5412914018095</v>
      </c>
    </row>
    <row r="75" spans="1:18">
      <c r="A75" s="31" t="s">
        <v>162</v>
      </c>
      <c r="B75" s="32">
        <v>1</v>
      </c>
      <c r="C75" s="65">
        <f>IFERROR(VLOOKUP("Bi-210",$A$4:$L$32,3)/$B75,0)</f>
        <v>2550031.2816509944</v>
      </c>
      <c r="D75" s="66">
        <f>IFERROR(VLOOKUP("Bi-210",$A$4:$L$32,4)/$B75,0)</f>
        <v>2512332.3204800002</v>
      </c>
      <c r="E75" s="66">
        <f>IFERROR(VLOOKUP("Bi-210",$A$4:$L$32,5)/$B75,0)</f>
        <v>2159181.0792490621</v>
      </c>
      <c r="F75" s="66">
        <f>IFERROR(VLOOKUP("Bi-210",$A$4:$L$32,6)/$B75,0)</f>
        <v>2158126.1921277572</v>
      </c>
      <c r="G75" s="66">
        <f>IFERROR(VLOOKUP("Bi-210",$A$4:$L$32,7)/$B75,0)</f>
        <v>2547078.9422842553</v>
      </c>
      <c r="H75" s="65">
        <f>IFERROR(VLOOKUP("Bi-210",$A$4:$L$32,8)/$B75,0)</f>
        <v>94351.157421086886</v>
      </c>
      <c r="I75" s="66">
        <f>IFERROR(VLOOKUP("Bi-210",$A$4:$L$32,9)/$B75,0)</f>
        <v>92956.295857760109</v>
      </c>
      <c r="J75" s="66">
        <f>IFERROR(VLOOKUP("Bi-210",$A$4:$L$32,10)/$B75,0)</f>
        <v>79889.699932215386</v>
      </c>
      <c r="K75" s="66">
        <f>IFERROR(VLOOKUP("Bi-210",$A$4:$L$32,11)/$B75,0)</f>
        <v>79850.669108727103</v>
      </c>
      <c r="L75" s="66">
        <f>IFERROR(VLOOKUP("Bi-210",$A$4:$L$32,12)/$B75,0)</f>
        <v>94241.920864517539</v>
      </c>
      <c r="M75" s="65">
        <f>IFERROR(VLOOKUP("Bi-210",$A$4:$R$32,13)/$B75,0)</f>
        <v>7.4970919680539226E-3</v>
      </c>
      <c r="N75" s="66">
        <f>IFERROR(VLOOKUP("Bi-210",$A$4:$R$32,14)/$B75,0)</f>
        <v>7.386257022211201E-6</v>
      </c>
      <c r="O75" s="66">
        <f>IFERROR(VLOOKUP("Bi-210",$A$4:$R$32,15)/$B75,0)</f>
        <v>6.3479923729922415E-3</v>
      </c>
      <c r="P75" s="66">
        <f>IFERROR(VLOOKUP("Bi-210",$A$4:$R$32,16)/$B75,0)</f>
        <v>6.3448910048556056E-3</v>
      </c>
      <c r="Q75" s="66">
        <f>IFERROR(VLOOKUP("Bi-210",$A$4:$R$32,17)/$B75,0)</f>
        <v>7.4884120903157096E-3</v>
      </c>
      <c r="R75" s="90">
        <f t="shared" si="86"/>
        <v>557737775.14656007</v>
      </c>
    </row>
    <row r="76" spans="1:18">
      <c r="A76" s="31" t="s">
        <v>164</v>
      </c>
      <c r="B76" s="32">
        <v>1</v>
      </c>
      <c r="C76" s="65">
        <f>IFERROR(VLOOKUP("Po-210",$A$4:$L$32,3)/$B76,0)</f>
        <v>221526.71900752946</v>
      </c>
      <c r="D76" s="66">
        <f>IFERROR(VLOOKUP("Po-210",$A$4:$L$32,4)/$B76,0)</f>
        <v>356983.28427726222</v>
      </c>
      <c r="E76" s="66">
        <f>IFERROR(VLOOKUP("Po-210",$A$4:$L$32,5)/$B76,0)</f>
        <v>256905.84128799141</v>
      </c>
      <c r="F76" s="66">
        <f>IFERROR(VLOOKUP("Po-210",$A$4:$L$32,6)/$B76,0)</f>
        <v>250796.37987105895</v>
      </c>
      <c r="G76" s="66">
        <f>IFERROR(VLOOKUP("Po-210",$A$4:$L$32,7)/$B76,0)</f>
        <v>289037.77524255606</v>
      </c>
      <c r="H76" s="65">
        <f>IFERROR(VLOOKUP("Po-210",$A$4:$L$32,8)/$B76,0)</f>
        <v>8196.488603278598</v>
      </c>
      <c r="I76" s="66">
        <f>IFERROR(VLOOKUP("Po-210",$A$4:$L$32,9)/$B76,0)</f>
        <v>13208.381518258715</v>
      </c>
      <c r="J76" s="66">
        <f>IFERROR(VLOOKUP("Po-210",$A$4:$L$32,10)/$B76,0)</f>
        <v>9505.5161276556919</v>
      </c>
      <c r="K76" s="66">
        <f>IFERROR(VLOOKUP("Po-210",$A$4:$L$32,11)/$B76,0)</f>
        <v>9279.4660552291898</v>
      </c>
      <c r="L76" s="66">
        <f>IFERROR(VLOOKUP("Po-210",$A$4:$L$32,12)/$B76,0)</f>
        <v>10694.397683974585</v>
      </c>
      <c r="M76" s="65">
        <f>IFERROR(VLOOKUP("Po-210",$A$4:$R$32,13)/$B76,0)</f>
        <v>6.5128855388213653E-4</v>
      </c>
      <c r="N76" s="66">
        <f>IFERROR(VLOOKUP("Po-210",$A$4:$R$32,14)/$B76,0)</f>
        <v>1.0495308557751511E-6</v>
      </c>
      <c r="O76" s="66">
        <f>IFERROR(VLOOKUP("Po-210",$A$4:$R$32,15)/$B76,0)</f>
        <v>7.5530317338669479E-4</v>
      </c>
      <c r="P76" s="66">
        <f>IFERROR(VLOOKUP("Po-210",$A$4:$R$32,16)/$B76,0)</f>
        <v>7.3734135682091318E-4</v>
      </c>
      <c r="Q76" s="66">
        <f>IFERROR(VLOOKUP("Po-210",$A$4:$R$32,17)/$B76,0)</f>
        <v>8.497710592131147E-4</v>
      </c>
      <c r="R76" s="90">
        <f>IF(D76&lt;&gt;".",D76*2.22*100,".")</f>
        <v>79250289.10955222</v>
      </c>
    </row>
    <row r="77" spans="1:18">
      <c r="A77" s="31" t="s">
        <v>163</v>
      </c>
      <c r="B77" s="34">
        <v>1.9000000000000001E-8</v>
      </c>
      <c r="C77" s="65">
        <f>IFERROR(VLOOKUP("Hg-206",$A$4:$L$32,3)/$B77,0)</f>
        <v>388666414.71831822</v>
      </c>
      <c r="D77" s="66">
        <f>IFERROR(VLOOKUP("Hg-206",$A$4:$L$32,4)/$B77,0)</f>
        <v>360647863.2608484</v>
      </c>
      <c r="E77" s="66">
        <f>IFERROR(VLOOKUP("Hg-206",$A$4:$L$32,5)/$B77,0)</f>
        <v>317094179.39389831</v>
      </c>
      <c r="F77" s="66">
        <f>IFERROR(VLOOKUP("Hg-206",$A$4:$L$32,6)/$B77,0)</f>
        <v>320449843.94884729</v>
      </c>
      <c r="G77" s="66">
        <f>IFERROR(VLOOKUP("Hg-206",$A$4:$L$32,7)/$B77,0)</f>
        <v>379571498.80087131</v>
      </c>
      <c r="H77" s="65">
        <f>IFERROR(VLOOKUP("Hg-206",$A$4:$L$32,8)/$B77,0)</f>
        <v>14380657.344577791</v>
      </c>
      <c r="I77" s="66">
        <f>IFERROR(VLOOKUP("Hg-206",$A$4:$L$32,9)/$B77,0)</f>
        <v>13343970.940651404</v>
      </c>
      <c r="J77" s="66">
        <f>IFERROR(VLOOKUP("Hg-206",$A$4:$L$32,10)/$B77,0)</f>
        <v>11732484.63757425</v>
      </c>
      <c r="K77" s="66">
        <f>IFERROR(VLOOKUP("Hg-206",$A$4:$L$32,11)/$B77,0)</f>
        <v>11856644.226107361</v>
      </c>
      <c r="L77" s="66">
        <f>IFERROR(VLOOKUP("Hg-206",$A$4:$L$32,12)/$B77,0)</f>
        <v>14044145.455632253</v>
      </c>
      <c r="M77" s="65">
        <f>IFERROR(VLOOKUP("Hg-206",$A$4:$R$32,13)/$B77,0)</f>
        <v>1.1209139400476298</v>
      </c>
      <c r="N77" s="66">
        <f>IFERROR(VLOOKUP("Hg-206",$A$4:$R$32,14)/$B77,0)</f>
        <v>1.0401084376442868E-3</v>
      </c>
      <c r="O77" s="66">
        <f>IFERROR(VLOOKUP("Hg-206",$A$4:$R$32,15)/$B77,0)</f>
        <v>0.9144996133720027</v>
      </c>
      <c r="P77" s="66">
        <f>IFERROR(VLOOKUP("Hg-206",$A$4:$R$32,16)/$B77,0)</f>
        <v>0.92417734994847556</v>
      </c>
      <c r="Q77" s="66">
        <f>IFERROR(VLOOKUP("Hg-206",$A$4:$R$32,17)/$B77,0)</f>
        <v>1.0946842025417125</v>
      </c>
      <c r="R77" s="90">
        <f t="shared" ref="R77:R78" si="87">IF(D77&lt;&gt;".",D77*2.22*100,".")</f>
        <v>80063825643.908356</v>
      </c>
    </row>
    <row r="78" spans="1:18">
      <c r="A78" s="31" t="s">
        <v>165</v>
      </c>
      <c r="B78" s="32">
        <v>1.339E-6</v>
      </c>
      <c r="C78" s="65">
        <f>IFERROR(VLOOKUP("Tl-206",$A$4:$L$32,3)/$B78,0)</f>
        <v>3533439977.9744945</v>
      </c>
      <c r="D78" s="66">
        <f>IFERROR(VLOOKUP("Tl-206",$A$4:$L$32,4)/$B78,0)</f>
        <v>1568499934.6595252</v>
      </c>
      <c r="E78" s="66">
        <f>IFERROR(VLOOKUP("Tl-206",$A$4:$L$32,5)/$B78,0)</f>
        <v>1939050713.1047513</v>
      </c>
      <c r="F78" s="66">
        <f>IFERROR(VLOOKUP("Tl-206",$A$4:$L$32,6)/$B78,0)</f>
        <v>2447063597.6084442</v>
      </c>
      <c r="G78" s="66">
        <f>IFERROR(VLOOKUP("Tl-206",$A$4:$L$32,7)/$B78,0)</f>
        <v>2335720124.5948763</v>
      </c>
      <c r="H78" s="65">
        <f>IFERROR(VLOOKUP("Tl-206",$A$4:$L$32,8)/$B78,0)</f>
        <v>130737279.18505643</v>
      </c>
      <c r="I78" s="66">
        <f>IFERROR(VLOOKUP("Tl-206",$A$4:$L$32,9)/$B78,0)</f>
        <v>58034497.58240249</v>
      </c>
      <c r="J78" s="66">
        <f>IFERROR(VLOOKUP("Tl-206",$A$4:$L$32,10)/$B78,0)</f>
        <v>71744876.384875864</v>
      </c>
      <c r="K78" s="66">
        <f>IFERROR(VLOOKUP("Tl-206",$A$4:$L$32,11)/$B78,0)</f>
        <v>90541353.111512527</v>
      </c>
      <c r="L78" s="66">
        <f>IFERROR(VLOOKUP("Tl-206",$A$4:$L$32,12)/$B78,0)</f>
        <v>86421644.61001052</v>
      </c>
      <c r="M78" s="65">
        <f>IFERROR(VLOOKUP("Tl-206",$A$4:$R$32,13)/$B78,0)</f>
        <v>10.190440896478442</v>
      </c>
      <c r="N78" s="66">
        <f>IFERROR(VLOOKUP("Tl-206",$A$4:$R$32,14)/$B78,0)</f>
        <v>4.5235538115580712E-3</v>
      </c>
      <c r="O78" s="66">
        <f>IFERROR(VLOOKUP("Tl-206",$A$4:$R$32,15)/$B78,0)</f>
        <v>5.5922222565941029</v>
      </c>
      <c r="P78" s="66">
        <f>IFERROR(VLOOKUP("Tl-206",$A$4:$R$32,16)/$B78,0)</f>
        <v>7.0573314155027527</v>
      </c>
      <c r="Q78" s="66">
        <f>IFERROR(VLOOKUP("Tl-206",$A$4:$R$32,17)/$B78,0)</f>
        <v>6.7362168393316217</v>
      </c>
      <c r="R78" s="90">
        <f t="shared" si="87"/>
        <v>348206985494.41461</v>
      </c>
    </row>
  </sheetData>
  <sheetProtection algorithmName="SHA-512" hashValue="j5fVjIkUCO0q2SUx/eJj6fuBvnuL0MxV+4/oMAYVkQzsmBDPgOBTKuAbtJE1Bi15ZRVeC5xsUNN+1DcArSqoOg==" saltValue="9AsOFx8uL1hXsxhlQ0FbfQ==" spinCount="100000" sheet="1" formatCells="0" formatColumns="0" formatRows="0" insertColumns="0" insertRows="0" autoFilter="0"/>
  <autoFilter ref="A2:R78" xr:uid="{00000000-0001-0000-1000-000000000000}"/>
  <mergeCells count="3">
    <mergeCell ref="C1:G1"/>
    <mergeCell ref="H1:L1"/>
    <mergeCell ref="M1:Q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tint="0.79998168889431442"/>
  </sheetPr>
  <dimension ref="A1:J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3.85546875" style="88" bestFit="1" customWidth="1"/>
    <col min="4" max="4" width="14" style="88" bestFit="1" customWidth="1"/>
    <col min="5" max="5" width="13.85546875" style="22" bestFit="1" customWidth="1"/>
    <col min="6" max="6" width="14" style="22" bestFit="1" customWidth="1"/>
    <col min="7" max="7" width="13.5703125" style="22" bestFit="1" customWidth="1"/>
    <col min="8" max="8" width="13.85546875" style="22" bestFit="1" customWidth="1"/>
    <col min="9" max="9" width="14" style="22" bestFit="1" customWidth="1"/>
    <col min="10" max="10" width="13.5703125" style="22" bestFit="1" customWidth="1"/>
  </cols>
  <sheetData>
    <row r="1" spans="1:10" ht="13.5" thickBot="1">
      <c r="C1" s="147" t="s">
        <v>227</v>
      </c>
      <c r="D1" s="148"/>
      <c r="E1" s="145" t="s">
        <v>51</v>
      </c>
      <c r="F1" s="146"/>
      <c r="G1" s="146"/>
      <c r="H1" s="145" t="s">
        <v>100</v>
      </c>
      <c r="I1" s="146"/>
      <c r="J1" s="146"/>
    </row>
    <row r="2" spans="1:10">
      <c r="A2" s="11" t="s">
        <v>0</v>
      </c>
      <c r="B2" s="11" t="s">
        <v>43</v>
      </c>
      <c r="C2" s="91" t="s">
        <v>97</v>
      </c>
      <c r="D2" s="92" t="s">
        <v>98</v>
      </c>
      <c r="E2" s="97" t="s">
        <v>97</v>
      </c>
      <c r="F2" s="98" t="s">
        <v>98</v>
      </c>
      <c r="G2" s="99" t="s">
        <v>99</v>
      </c>
      <c r="H2" s="97" t="s">
        <v>97</v>
      </c>
      <c r="I2" s="98" t="s">
        <v>98</v>
      </c>
      <c r="J2" s="98" t="s">
        <v>99</v>
      </c>
    </row>
    <row r="3" spans="1:10" ht="13.5" thickBot="1">
      <c r="B3" s="26" t="s">
        <v>44</v>
      </c>
      <c r="C3" s="93" t="s">
        <v>218</v>
      </c>
      <c r="D3" s="94" t="s">
        <v>218</v>
      </c>
      <c r="E3" s="100" t="s">
        <v>219</v>
      </c>
      <c r="F3" s="101" t="s">
        <v>219</v>
      </c>
      <c r="G3" s="102" t="s">
        <v>219</v>
      </c>
      <c r="H3" s="100" t="s">
        <v>219</v>
      </c>
      <c r="I3" s="101" t="s">
        <v>219</v>
      </c>
      <c r="J3" s="102" t="s">
        <v>219</v>
      </c>
    </row>
    <row r="4" spans="1:10">
      <c r="A4" s="82" t="s">
        <v>23</v>
      </c>
      <c r="B4" s="12" t="s">
        <v>50</v>
      </c>
      <c r="C4" s="95">
        <f t="shared" ref="C4:C5" si="0">IFERROR(s_C*k_decay*s_IFDres_adj*s_Fin*s_Fi,".")</f>
        <v>520732.0800365617</v>
      </c>
      <c r="D4" s="96">
        <f>IFERROR(s_C*k_decay*s_Fin*s_Fi*s_Fam*s_Foff*s_ETres*(1/24)*s_EFres*(1/365)*Isospec!R3,".")</f>
        <v>1.0968631609380699</v>
      </c>
      <c r="E4" s="95">
        <f>C4*Doses!E2</f>
        <v>2603660.4001828087</v>
      </c>
      <c r="F4" s="126">
        <f>D4*Doses!L2</f>
        <v>5.4843158046903495</v>
      </c>
      <c r="G4" s="103">
        <f>SUM((C4*Doses!E2),(D4*Doses!L2))</f>
        <v>2603665.8844986134</v>
      </c>
      <c r="H4" s="95">
        <f t="shared" ref="H4:H5" si="1">E4/s_1_bq</f>
        <v>96335.434806764024</v>
      </c>
      <c r="I4" s="126">
        <f t="shared" ref="I4:I5" si="2">F4/s_1_bq</f>
        <v>0.20291968477354314</v>
      </c>
      <c r="J4" s="103">
        <f t="shared" ref="J4:J5" si="3">G4/s_1_bq</f>
        <v>96335.637726448796</v>
      </c>
    </row>
    <row r="5" spans="1:10">
      <c r="A5" s="83" t="s">
        <v>14</v>
      </c>
      <c r="B5" s="12" t="s">
        <v>44</v>
      </c>
      <c r="C5" s="95">
        <f t="shared" si="0"/>
        <v>520732.0800365617</v>
      </c>
      <c r="D5" s="96">
        <f>IFERROR(s_C*k_decay*s_Fin*s_Fi*s_Fam*s_Foff*s_ETres*(1/24)*s_EFres*(1/365)*Isospec!R4,".")</f>
        <v>1.0000229899723663</v>
      </c>
      <c r="E5" s="95">
        <f>C5*Doses!E3</f>
        <v>2603660.4001828087</v>
      </c>
      <c r="F5" s="126">
        <f>D5*Doses!L3</f>
        <v>5.0001149498618318</v>
      </c>
      <c r="G5" s="103">
        <f>SUM((C5*Doses!E3),(D5*Doses!L3))</f>
        <v>2603665.4002977586</v>
      </c>
      <c r="H5" s="95">
        <f t="shared" si="1"/>
        <v>96335.434806764024</v>
      </c>
      <c r="I5" s="126">
        <f t="shared" si="2"/>
        <v>0.18500425314488797</v>
      </c>
      <c r="J5" s="103">
        <f t="shared" si="3"/>
        <v>96335.619811017168</v>
      </c>
    </row>
    <row r="6" spans="1:10">
      <c r="A6" s="82" t="s">
        <v>15</v>
      </c>
      <c r="B6" s="12" t="s">
        <v>50</v>
      </c>
      <c r="C6" s="95">
        <f t="shared" ref="C6:C8" si="4">IFERROR(s_C*k_decay*s_IFDres_adj*s_Fin*s_Fi,".")</f>
        <v>520732.0800365617</v>
      </c>
      <c r="D6" s="96">
        <f>IFERROR(s_C*k_decay*s_Fin*s_Fi*s_Fam*s_Foff*s_ETres*(1/24)*s_EFres*(1/365)*Isospec!R5,".")</f>
        <v>0.54546708543947264</v>
      </c>
      <c r="E6" s="95">
        <f>C6*Doses!E4</f>
        <v>2603660.4001828087</v>
      </c>
      <c r="F6" s="126">
        <f>D6*Doses!L4</f>
        <v>2.7273354271973633</v>
      </c>
      <c r="G6" s="103">
        <f>SUM((C6*Doses!E4),(D6*Doses!L4))</f>
        <v>2603663.1275182362</v>
      </c>
      <c r="H6" s="95">
        <f t="shared" ref="H6:H8" si="5">E6/s_1_bq</f>
        <v>96335.434806764024</v>
      </c>
      <c r="I6" s="126">
        <f t="shared" ref="I6:I8" si="6">F6/s_1_bq</f>
        <v>0.10091141080630255</v>
      </c>
      <c r="J6" s="103">
        <f t="shared" ref="J6:J8" si="7">G6/s_1_bq</f>
        <v>96335.53571817484</v>
      </c>
    </row>
    <row r="7" spans="1:10">
      <c r="A7" s="82" t="s">
        <v>16</v>
      </c>
      <c r="B7" s="84" t="s">
        <v>50</v>
      </c>
      <c r="C7" s="95">
        <f t="shared" si="4"/>
        <v>520732.0800365617</v>
      </c>
      <c r="D7" s="96">
        <f>IFERROR(s_C*k_decay*s_Fin*s_Fi*s_Fam*s_Foff*s_ETres*(1/24)*s_EFres*(1/365)*Isospec!R6,".")</f>
        <v>1.7786970177374104</v>
      </c>
      <c r="E7" s="95">
        <f>C7*Doses!E5</f>
        <v>2603660.4001828087</v>
      </c>
      <c r="F7" s="126">
        <f>D7*Doses!L5</f>
        <v>8.8934850886870525</v>
      </c>
      <c r="G7" s="103">
        <f>SUM((C7*Doses!E5),(D7*Doses!L5))</f>
        <v>2603669.2936678976</v>
      </c>
      <c r="H7" s="95">
        <f t="shared" si="5"/>
        <v>96335.434806764024</v>
      </c>
      <c r="I7" s="126">
        <f t="shared" si="6"/>
        <v>0.32905894828142129</v>
      </c>
      <c r="J7" s="103">
        <f t="shared" si="7"/>
        <v>96335.763865712303</v>
      </c>
    </row>
    <row r="8" spans="1:10">
      <c r="A8" s="82" t="s">
        <v>18</v>
      </c>
      <c r="B8" s="12" t="s">
        <v>50</v>
      </c>
      <c r="C8" s="95">
        <f t="shared" si="4"/>
        <v>520732.0800365617</v>
      </c>
      <c r="D8" s="96">
        <f>IFERROR(s_C*k_decay*s_Fin*s_Fi*s_Fam*s_Foff*s_ETres*(1/24)*s_EFres*(1/365)*Isospec!R7,".")</f>
        <v>0.44072159439493613</v>
      </c>
      <c r="E8" s="95">
        <f>C8*Doses!E6</f>
        <v>2603660.4001828087</v>
      </c>
      <c r="F8" s="126">
        <f>D8*Doses!L6</f>
        <v>2.2036079719746806</v>
      </c>
      <c r="G8" s="103">
        <f>SUM((C8*Doses!E6),(D8*Doses!L6))</f>
        <v>2603662.6037907805</v>
      </c>
      <c r="H8" s="95">
        <f t="shared" si="5"/>
        <v>96335.434806764024</v>
      </c>
      <c r="I8" s="126">
        <f t="shared" si="6"/>
        <v>8.1533494963063266E-2</v>
      </c>
      <c r="J8" s="103">
        <f t="shared" si="7"/>
        <v>96335.516340258982</v>
      </c>
    </row>
    <row r="9" spans="1:10">
      <c r="A9" s="82" t="s">
        <v>19</v>
      </c>
      <c r="B9" s="85" t="s">
        <v>50</v>
      </c>
      <c r="C9" s="95">
        <f t="shared" ref="C9:C11" si="8">IFERROR(s_C*k_decay*s_IFDres_adj*s_Fin*s_Fi,".")</f>
        <v>520732.0800365617</v>
      </c>
      <c r="D9" s="96">
        <f>IFERROR(s_C*k_decay*s_Fin*s_Fi*s_Fam*s_Foff*s_ETres*(1/24)*s_EFres*(1/365)*Isospec!R8,".")</f>
        <v>0.50989314508472439</v>
      </c>
      <c r="E9" s="95">
        <f>C9*Doses!E7</f>
        <v>2603660.4001828087</v>
      </c>
      <c r="F9" s="126">
        <f>D9*Doses!L7</f>
        <v>2.5494657254236222</v>
      </c>
      <c r="G9" s="103">
        <f>SUM((C9*Doses!E7),(D9*Doses!L7))</f>
        <v>2603662.9496485339</v>
      </c>
      <c r="H9" s="95">
        <f t="shared" ref="H9:H11" si="9">E9/s_1_bq</f>
        <v>96335.434806764024</v>
      </c>
      <c r="I9" s="126">
        <f t="shared" ref="I9:I11" si="10">F9/s_1_bq</f>
        <v>9.4330231840674114E-2</v>
      </c>
      <c r="J9" s="103">
        <f t="shared" ref="J9:J11" si="11">G9/s_1_bq</f>
        <v>96335.529136995858</v>
      </c>
    </row>
    <row r="10" spans="1:10">
      <c r="A10" s="82" t="s">
        <v>20</v>
      </c>
      <c r="B10" s="12" t="s">
        <v>50</v>
      </c>
      <c r="C10" s="95">
        <f t="shared" si="8"/>
        <v>520732.0800365617</v>
      </c>
      <c r="D10" s="96">
        <f>IFERROR(s_C*k_decay*s_Fin*s_Fi*s_Fam*s_Foff*s_ETres*(1/24)*s_EFres*(1/365)*Isospec!R9,".")</f>
        <v>0.46443755463143493</v>
      </c>
      <c r="E10" s="95">
        <f>C10*Doses!E8</f>
        <v>2603660.4001828087</v>
      </c>
      <c r="F10" s="126">
        <f>D10*Doses!L8</f>
        <v>2.3221877731571747</v>
      </c>
      <c r="G10" s="103">
        <f>SUM((C10*Doses!E8),(D10*Doses!L8))</f>
        <v>2603662.7223705817</v>
      </c>
      <c r="H10" s="95">
        <f t="shared" si="9"/>
        <v>96335.434806764024</v>
      </c>
      <c r="I10" s="126">
        <f t="shared" si="10"/>
        <v>8.5920947606815554E-2</v>
      </c>
      <c r="J10" s="103">
        <f t="shared" si="11"/>
        <v>96335.520727711613</v>
      </c>
    </row>
    <row r="11" spans="1:10">
      <c r="A11" s="82" t="s">
        <v>21</v>
      </c>
      <c r="B11" s="85" t="s">
        <v>50</v>
      </c>
      <c r="C11" s="95">
        <f t="shared" si="8"/>
        <v>520732.0800365617</v>
      </c>
      <c r="D11" s="96">
        <f>IFERROR(s_C*k_decay*s_Fin*s_Fi*s_Fam*s_Foff*s_ETres*(1/24)*s_EFres*(1/365)*Isospec!R10,".")</f>
        <v>0.41898196417814554</v>
      </c>
      <c r="E11" s="95">
        <f>C11*Doses!E9</f>
        <v>2603660.4001828087</v>
      </c>
      <c r="F11" s="126">
        <f>D11*Doses!L9</f>
        <v>2.0949098208907277</v>
      </c>
      <c r="G11" s="103">
        <f>SUM((C11*Doses!E9),(D11*Doses!L9))</f>
        <v>2603662.4950926295</v>
      </c>
      <c r="H11" s="95">
        <f t="shared" si="9"/>
        <v>96335.434806764024</v>
      </c>
      <c r="I11" s="126">
        <f t="shared" si="10"/>
        <v>7.7511663372957007E-2</v>
      </c>
      <c r="J11" s="103">
        <f t="shared" si="11"/>
        <v>96335.512318427383</v>
      </c>
    </row>
    <row r="12" spans="1:10">
      <c r="A12" s="83" t="s">
        <v>17</v>
      </c>
      <c r="B12" s="12" t="s">
        <v>44</v>
      </c>
      <c r="C12" s="95">
        <f t="shared" ref="C12" si="12">IFERROR(s_C*k_decay*s_IFDres_adj*s_Fin*s_Fi,".")</f>
        <v>520732.0800365617</v>
      </c>
      <c r="D12" s="96">
        <f>IFERROR(s_C*k_decay*s_Fin*s_Fi*s_Fam*s_Foff*s_ETres*(1/24)*s_EFres*(1/365)*Isospec!R11,".")</f>
        <v>0.46641388465114314</v>
      </c>
      <c r="E12" s="95">
        <f>C12*Doses!E10</f>
        <v>2603660.4001828087</v>
      </c>
      <c r="F12" s="126">
        <f>D12*Doses!L10</f>
        <v>2.3320694232557155</v>
      </c>
      <c r="G12" s="103">
        <f>SUM((C12*Doses!E10),(D12*Doses!L10))</f>
        <v>2603662.7322522318</v>
      </c>
      <c r="H12" s="95">
        <f t="shared" ref="H12" si="13">E12/s_1_bq</f>
        <v>96335.434806764024</v>
      </c>
      <c r="I12" s="126">
        <f t="shared" ref="I12" si="14">F12/s_1_bq</f>
        <v>8.6286568660461568E-2</v>
      </c>
      <c r="J12" s="103">
        <f t="shared" ref="J12" si="15">G12/s_1_bq</f>
        <v>96335.521093332674</v>
      </c>
    </row>
    <row r="13" spans="1:10">
      <c r="A13" s="82" t="s">
        <v>24</v>
      </c>
      <c r="B13" s="12" t="s">
        <v>50</v>
      </c>
      <c r="C13" s="95">
        <f t="shared" ref="C13" si="16">IFERROR(s_C*k_decay*s_IFDres_adj*s_Fin*s_Fi,".")</f>
        <v>520732.0800365617</v>
      </c>
      <c r="D13" s="96">
        <f>IFERROR(s_C*k_decay*s_Fin*s_Fi*s_Fam*s_Foff*s_ETres*(1/24)*s_EFres*(1/365)*Isospec!R12,".")</f>
        <v>0.57708836575480427</v>
      </c>
      <c r="E13" s="95">
        <f>C13*Doses!E11</f>
        <v>2603660.4001828087</v>
      </c>
      <c r="F13" s="126">
        <f>D13*Doses!L11</f>
        <v>2.8854418287740211</v>
      </c>
      <c r="G13" s="103">
        <f>SUM((C13*Doses!E11),(D13*Doses!L11))</f>
        <v>2603663.2856246377</v>
      </c>
      <c r="H13" s="95">
        <f t="shared" ref="H13" si="17">E13/s_1_bq</f>
        <v>96335.434806764024</v>
      </c>
      <c r="I13" s="126">
        <f t="shared" ref="I13" si="18">F13/s_1_bq</f>
        <v>0.10676134766463889</v>
      </c>
      <c r="J13" s="103">
        <f t="shared" ref="J13" si="19">G13/s_1_bq</f>
        <v>96335.541568111687</v>
      </c>
    </row>
    <row r="14" spans="1:10">
      <c r="A14" s="82" t="s">
        <v>22</v>
      </c>
      <c r="B14" s="84" t="s">
        <v>50</v>
      </c>
      <c r="C14" s="95">
        <f t="shared" ref="C14" si="20">IFERROR(s_C*k_decay*s_IFDres_adj*s_Fin*s_Fi,".")</f>
        <v>520732.0800365617</v>
      </c>
      <c r="D14" s="96">
        <f>IFERROR(s_C*k_decay*s_Fin*s_Fi*s_Fam*s_Foff*s_ETres*(1/24)*s_EFres*(1/365)*Isospec!R13,".")</f>
        <v>0.50594048504530786</v>
      </c>
      <c r="E14" s="95">
        <f>C14*Doses!E12</f>
        <v>2603660.4001828087</v>
      </c>
      <c r="F14" s="126">
        <f>D14*Doses!L12</f>
        <v>2.5297024252265392</v>
      </c>
      <c r="G14" s="103">
        <f>SUM((C14*Doses!E12),(D14*Doses!L12))</f>
        <v>2603662.9298852338</v>
      </c>
      <c r="H14" s="95">
        <f t="shared" ref="H14" si="21">E14/s_1_bq</f>
        <v>96335.434806764024</v>
      </c>
      <c r="I14" s="126">
        <f t="shared" ref="I14" si="22">F14/s_1_bq</f>
        <v>9.3598989733382043E-2</v>
      </c>
      <c r="J14" s="103">
        <f t="shared" ref="J14" si="23">G14/s_1_bq</f>
        <v>96335.52840575375</v>
      </c>
    </row>
    <row r="15" spans="1:10">
      <c r="A15" s="82" t="s">
        <v>28</v>
      </c>
      <c r="B15" s="12" t="s">
        <v>50</v>
      </c>
      <c r="C15" s="95">
        <f t="shared" ref="C15:C16" si="24">IFERROR(s_C*k_decay*s_IFDres_adj*s_Fin*s_Fi,".")</f>
        <v>520732.0800365617</v>
      </c>
      <c r="D15" s="96">
        <f>IFERROR(s_C*k_decay*s_Fin*s_Fi*s_Fam*s_Foff*s_ETres*(1/24)*s_EFres*(1/365)*Isospec!R14,".")</f>
        <v>1.0691945406621546</v>
      </c>
      <c r="E15" s="95">
        <f>C15*Doses!E13</f>
        <v>2603660.4001828087</v>
      </c>
      <c r="F15" s="126">
        <f>D15*Doses!L13</f>
        <v>5.3459727033107729</v>
      </c>
      <c r="G15" s="103">
        <f>SUM((C15*Doses!E13),(D15*Doses!L13))</f>
        <v>2603665.7461555121</v>
      </c>
      <c r="H15" s="95">
        <f t="shared" ref="H15:H16" si="25">E15/s_1_bq</f>
        <v>96335.434806764024</v>
      </c>
      <c r="I15" s="126">
        <f t="shared" ref="I15:I16" si="26">F15/s_1_bq</f>
        <v>0.19780099002249879</v>
      </c>
      <c r="J15" s="103">
        <f t="shared" ref="J15:J16" si="27">G15/s_1_bq</f>
        <v>96335.632607754043</v>
      </c>
    </row>
    <row r="16" spans="1:10">
      <c r="A16" s="82" t="s">
        <v>29</v>
      </c>
      <c r="B16" s="12" t="s">
        <v>50</v>
      </c>
      <c r="C16" s="95">
        <f t="shared" si="24"/>
        <v>520732.0800365617</v>
      </c>
      <c r="D16" s="96">
        <f>IFERROR(s_C*k_decay*s_Fin*s_Fi*s_Fam*s_Foff*s_ETres*(1/24)*s_EFres*(1/365)*Isospec!R15,".")</f>
        <v>0.71543146713438066</v>
      </c>
      <c r="E16" s="95">
        <f>C16*Doses!E14</f>
        <v>2603660.4001828087</v>
      </c>
      <c r="F16" s="126">
        <f>D16*Doses!L14</f>
        <v>3.5771573356719033</v>
      </c>
      <c r="G16" s="103">
        <f>SUM((C16*Doses!E14),(D16*Doses!L14))</f>
        <v>2603663.9773401446</v>
      </c>
      <c r="H16" s="95">
        <f t="shared" si="25"/>
        <v>96335.434806764024</v>
      </c>
      <c r="I16" s="126">
        <f t="shared" si="26"/>
        <v>0.13235482141986055</v>
      </c>
      <c r="J16" s="103">
        <f t="shared" si="27"/>
        <v>96335.567161585452</v>
      </c>
    </row>
    <row r="17" spans="1:10">
      <c r="A17" s="82" t="s">
        <v>32</v>
      </c>
      <c r="B17" s="12" t="s">
        <v>50</v>
      </c>
      <c r="C17" s="95">
        <f t="shared" ref="C17:C23" si="28">IFERROR(s_C*k_decay*s_IFDres_adj*s_Fin*s_Fi,".")</f>
        <v>520732.0800365617</v>
      </c>
      <c r="D17" s="96">
        <f>IFERROR(s_C*k_decay*s_Fin*s_Fi*s_Fam*s_Foff*s_ETres*(1/24)*s_EFres*(1/365)*Isospec!R16,".")</f>
        <v>1.7786970177374104</v>
      </c>
      <c r="E17" s="95">
        <f>C17*Doses!E15</f>
        <v>2603660.4001828087</v>
      </c>
      <c r="F17" s="126">
        <f>D17*Doses!L15</f>
        <v>8.8934850886870525</v>
      </c>
      <c r="G17" s="103">
        <f>SUM((C17*Doses!E15),(D17*Doses!L15))</f>
        <v>2603669.2936678976</v>
      </c>
      <c r="H17" s="95">
        <f t="shared" ref="H17:H23" si="29">E17/s_1_bq</f>
        <v>96335.434806764024</v>
      </c>
      <c r="I17" s="126">
        <f t="shared" ref="I17:I23" si="30">F17/s_1_bq</f>
        <v>0.32905894828142129</v>
      </c>
      <c r="J17" s="103">
        <f t="shared" ref="J17:J23" si="31">G17/s_1_bq</f>
        <v>96335.763865712303</v>
      </c>
    </row>
    <row r="18" spans="1:10">
      <c r="A18" s="82" t="s">
        <v>33</v>
      </c>
      <c r="B18" s="85" t="s">
        <v>50</v>
      </c>
      <c r="C18" s="95">
        <f t="shared" si="28"/>
        <v>520732.0800365617</v>
      </c>
      <c r="D18" s="96">
        <f>IFERROR(s_C*k_decay*s_Fin*s_Fi*s_Fam*s_Foff*s_ETres*(1/24)*s_EFres*(1/365)*Isospec!R17,".")</f>
        <v>1.3656440436183894</v>
      </c>
      <c r="E18" s="95">
        <f>C18*Doses!E16</f>
        <v>2603660.4001828087</v>
      </c>
      <c r="F18" s="126">
        <f>D18*Doses!L16</f>
        <v>6.8282202180919471</v>
      </c>
      <c r="G18" s="103">
        <f>SUM((C18*Doses!E16),(D18*Doses!L16))</f>
        <v>2603667.2284030267</v>
      </c>
      <c r="H18" s="95">
        <f t="shared" si="29"/>
        <v>96335.434806764024</v>
      </c>
      <c r="I18" s="126">
        <f t="shared" si="30"/>
        <v>0.25264414806940227</v>
      </c>
      <c r="J18" s="103">
        <f t="shared" si="31"/>
        <v>96335.687450912083</v>
      </c>
    </row>
    <row r="19" spans="1:10">
      <c r="A19" s="82" t="s">
        <v>34</v>
      </c>
      <c r="B19" s="85" t="s">
        <v>50</v>
      </c>
      <c r="C19" s="95">
        <f t="shared" si="28"/>
        <v>520732.0800365617</v>
      </c>
      <c r="D19" s="96">
        <f>IFERROR(s_C*k_decay*s_Fin*s_Fi*s_Fam*s_Foff*s_ETres*(1/24)*s_EFres*(1/365)*Isospec!R18,".")</f>
        <v>0.5375617653606396</v>
      </c>
      <c r="E19" s="95">
        <f>C19*Doses!E17</f>
        <v>2603660.4001828087</v>
      </c>
      <c r="F19" s="126">
        <f>D19*Doses!L17</f>
        <v>2.6878088268031979</v>
      </c>
      <c r="G19" s="103">
        <f>SUM((C19*Doses!E17),(D19*Doses!L17))</f>
        <v>2603663.0879916358</v>
      </c>
      <c r="H19" s="95">
        <f t="shared" si="29"/>
        <v>96335.434806764024</v>
      </c>
      <c r="I19" s="126">
        <f t="shared" si="30"/>
        <v>9.9448926591718417E-2</v>
      </c>
      <c r="J19" s="103">
        <f t="shared" si="31"/>
        <v>96335.534255690625</v>
      </c>
    </row>
    <row r="20" spans="1:10">
      <c r="A20" s="82" t="s">
        <v>36</v>
      </c>
      <c r="B20" s="85" t="s">
        <v>50</v>
      </c>
      <c r="C20" s="95">
        <f t="shared" si="28"/>
        <v>520732.0800365617</v>
      </c>
      <c r="D20" s="96">
        <f>IFERROR(s_C*k_decay*s_Fin*s_Fi*s_Fam*s_Foff*s_ETres*(1/24)*s_EFres*(1/365)*Isospec!R19,".")</f>
        <v>0.42688728425697853</v>
      </c>
      <c r="E20" s="95">
        <f>C20*Doses!E18</f>
        <v>2603660.4001828087</v>
      </c>
      <c r="F20" s="126">
        <f>D20*Doses!L18</f>
        <v>2.1344364212848927</v>
      </c>
      <c r="G20" s="103">
        <f>SUM((C20*Doses!E18),(D20*Doses!L18))</f>
        <v>2603662.5346192298</v>
      </c>
      <c r="H20" s="95">
        <f t="shared" si="29"/>
        <v>96335.434806764024</v>
      </c>
      <c r="I20" s="126">
        <f t="shared" si="30"/>
        <v>7.8974147587541108E-2</v>
      </c>
      <c r="J20" s="103">
        <f t="shared" si="31"/>
        <v>96335.513780911599</v>
      </c>
    </row>
    <row r="21" spans="1:10">
      <c r="A21" s="82" t="s">
        <v>37</v>
      </c>
      <c r="B21" s="12" t="s">
        <v>50</v>
      </c>
      <c r="C21" s="95">
        <f t="shared" si="28"/>
        <v>520732.0800365617</v>
      </c>
      <c r="D21" s="96">
        <f>IFERROR(s_C*k_decay*s_Fin*s_Fi*s_Fam*s_Foff*s_ETres*(1/24)*s_EFres*(1/365)*Isospec!R20,".")</f>
        <v>0.42886361427668673</v>
      </c>
      <c r="E21" s="95">
        <f>C21*Doses!E19</f>
        <v>2603660.4001828087</v>
      </c>
      <c r="F21" s="126">
        <f>D21*Doses!L19</f>
        <v>2.1443180713834336</v>
      </c>
      <c r="G21" s="103">
        <f>SUM((C21*Doses!E19),(D21*Doses!L19))</f>
        <v>2603662.5445008799</v>
      </c>
      <c r="H21" s="95">
        <f t="shared" si="29"/>
        <v>96335.434806764024</v>
      </c>
      <c r="I21" s="126">
        <f t="shared" si="30"/>
        <v>7.9339768641187122E-2</v>
      </c>
      <c r="J21" s="103">
        <f t="shared" si="31"/>
        <v>96335.51414653266</v>
      </c>
    </row>
    <row r="22" spans="1:10">
      <c r="A22" s="82" t="s">
        <v>38</v>
      </c>
      <c r="B22" s="85" t="s">
        <v>50</v>
      </c>
      <c r="C22" s="95">
        <f t="shared" si="28"/>
        <v>520732.0800365617</v>
      </c>
      <c r="D22" s="96">
        <f>IFERROR(s_C*k_decay*s_Fin*s_Fi*s_Fam*s_Foff*s_ETres*(1/24)*s_EFres*(1/365)*Isospec!R21,".")</f>
        <v>0.42688728425697853</v>
      </c>
      <c r="E22" s="95">
        <f>C22*Doses!E20</f>
        <v>2603660.4001828087</v>
      </c>
      <c r="F22" s="126">
        <f>D22*Doses!L20</f>
        <v>2.1344364212848927</v>
      </c>
      <c r="G22" s="103">
        <f>SUM((C22*Doses!E20),(D22*Doses!L20))</f>
        <v>2603662.5346192298</v>
      </c>
      <c r="H22" s="95">
        <f t="shared" si="29"/>
        <v>96335.434806764024</v>
      </c>
      <c r="I22" s="126">
        <f t="shared" si="30"/>
        <v>7.8974147587541108E-2</v>
      </c>
      <c r="J22" s="103">
        <f t="shared" si="31"/>
        <v>96335.513780911599</v>
      </c>
    </row>
    <row r="23" spans="1:10">
      <c r="A23" s="82" t="s">
        <v>39</v>
      </c>
      <c r="B23" s="85" t="s">
        <v>50</v>
      </c>
      <c r="C23" s="95">
        <f t="shared" si="28"/>
        <v>520732.0800365617</v>
      </c>
      <c r="D23" s="96">
        <f>IFERROR(s_C*k_decay*s_Fin*s_Fi*s_Fam*s_Foff*s_ETres*(1/24)*s_EFres*(1/365)*Isospec!R22,".")</f>
        <v>1.7786970177374104</v>
      </c>
      <c r="E23" s="95">
        <f>C23*Doses!E21</f>
        <v>2603660.4001828087</v>
      </c>
      <c r="F23" s="126">
        <f>D23*Doses!L21</f>
        <v>8.8934850886870525</v>
      </c>
      <c r="G23" s="103">
        <f>SUM((C23*Doses!E21),(D23*Doses!L21))</f>
        <v>2603669.2936678976</v>
      </c>
      <c r="H23" s="95">
        <f t="shared" si="29"/>
        <v>96335.434806764024</v>
      </c>
      <c r="I23" s="126">
        <f t="shared" si="30"/>
        <v>0.32905894828142129</v>
      </c>
      <c r="J23" s="103">
        <f t="shared" si="31"/>
        <v>96335.763865712303</v>
      </c>
    </row>
    <row r="24" spans="1:10">
      <c r="A24" s="82" t="s">
        <v>26</v>
      </c>
      <c r="B24" s="12" t="s">
        <v>50</v>
      </c>
      <c r="C24" s="95">
        <f t="shared" ref="C24:C25" si="32">IFERROR(s_C*k_decay*s_IFDres_adj*s_Fin*s_Fi,".")</f>
        <v>520732.0800365617</v>
      </c>
      <c r="D24" s="96">
        <f>IFERROR(s_C*k_decay*s_Fin*s_Fi*s_Fam*s_Foff*s_ETres*(1/24)*s_EFres*(1/365)*Isospec!R23,".")</f>
        <v>0.9348040993219946</v>
      </c>
      <c r="E24" s="95">
        <f>C24*Doses!E22</f>
        <v>2603660.4001828087</v>
      </c>
      <c r="F24" s="126">
        <f>D24*Doses!L22</f>
        <v>4.6740204966099732</v>
      </c>
      <c r="G24" s="103">
        <f>SUM((C24*Doses!E22),(D24*Doses!L22))</f>
        <v>2603665.0742033054</v>
      </c>
      <c r="H24" s="95">
        <f t="shared" ref="H24:H25" si="33">E24/s_1_bq</f>
        <v>96335.434806764024</v>
      </c>
      <c r="I24" s="126">
        <f t="shared" ref="I24:I25" si="34">F24/s_1_bq</f>
        <v>0.17293875837456918</v>
      </c>
      <c r="J24" s="103">
        <f t="shared" ref="J24:J25" si="35">G24/s_1_bq</f>
        <v>96335.6077455224</v>
      </c>
    </row>
    <row r="25" spans="1:10">
      <c r="A25" s="83" t="s">
        <v>27</v>
      </c>
      <c r="B25" s="85" t="s">
        <v>44</v>
      </c>
      <c r="C25" s="95">
        <f t="shared" si="32"/>
        <v>520732.0800365617</v>
      </c>
      <c r="D25" s="96">
        <f>IFERROR(s_C*k_decay*s_Fin*s_Fi*s_Fam*s_Foff*s_ETres*(1/24)*s_EFres*(1/365)*Isospec!R24,".")</f>
        <v>0.62452028622780187</v>
      </c>
      <c r="E25" s="95">
        <f>C25*Doses!E23</f>
        <v>2603660.4001828087</v>
      </c>
      <c r="F25" s="126">
        <f>D25*Doses!L23</f>
        <v>3.1226014311390093</v>
      </c>
      <c r="G25" s="103">
        <f>SUM((C25*Doses!E23),(D25*Doses!L23))</f>
        <v>2603663.5227842401</v>
      </c>
      <c r="H25" s="95">
        <f t="shared" si="33"/>
        <v>96335.434806764024</v>
      </c>
      <c r="I25" s="126">
        <f t="shared" si="34"/>
        <v>0.11553625295214347</v>
      </c>
      <c r="J25" s="103">
        <f t="shared" si="35"/>
        <v>96335.550343016977</v>
      </c>
    </row>
    <row r="26" spans="1:10">
      <c r="A26" s="82" t="s">
        <v>30</v>
      </c>
      <c r="B26" s="85" t="s">
        <v>50</v>
      </c>
      <c r="C26" s="95">
        <f t="shared" ref="C26" si="36">IFERROR(s_C*k_decay*s_IFDres_adj*s_Fin*s_Fi,".")</f>
        <v>520732.0800365617</v>
      </c>
      <c r="D26" s="96">
        <f>IFERROR(s_C*k_decay*s_Fin*s_Fi*s_Fam*s_Foff*s_ETres*(1/24)*s_EFres*(1/365)*Isospec!R25,".")</f>
        <v>0.44072159439493613</v>
      </c>
      <c r="E26" s="95">
        <f>C26*Doses!E24</f>
        <v>2603660.4001828087</v>
      </c>
      <c r="F26" s="126">
        <f>D26*Doses!L24</f>
        <v>2.2036079719746806</v>
      </c>
      <c r="G26" s="103">
        <f>SUM((C26*Doses!E24),(D26*Doses!L24))</f>
        <v>2603662.6037907805</v>
      </c>
      <c r="H26" s="95">
        <f t="shared" ref="H26" si="37">E26/s_1_bq</f>
        <v>96335.434806764024</v>
      </c>
      <c r="I26" s="126">
        <f t="shared" ref="I26" si="38">F26/s_1_bq</f>
        <v>8.1533494963063266E-2</v>
      </c>
      <c r="J26" s="103">
        <f t="shared" ref="J26" si="39">G26/s_1_bq</f>
        <v>96335.516340258982</v>
      </c>
    </row>
    <row r="27" spans="1:10">
      <c r="A27" s="83" t="s">
        <v>31</v>
      </c>
      <c r="B27" s="85" t="s">
        <v>44</v>
      </c>
      <c r="C27" s="95">
        <f t="shared" ref="C27" si="40">IFERROR(s_C*k_decay*s_IFDres_adj*s_Fin*s_Fi,".")</f>
        <v>520732.0800365617</v>
      </c>
      <c r="D27" s="96">
        <f>IFERROR(s_C*k_decay*s_Fin*s_Fi*s_Fam*s_Foff*s_ETres*(1/24)*s_EFres*(1/365)*Isospec!R26,".")</f>
        <v>0.44072159439493613</v>
      </c>
      <c r="E27" s="95">
        <f>C27*Doses!E25</f>
        <v>2603660.4001828087</v>
      </c>
      <c r="F27" s="126">
        <f>D27*Doses!L25</f>
        <v>2.2036079719746806</v>
      </c>
      <c r="G27" s="103">
        <f>SUM((C27*Doses!E25),(D27*Doses!L25))</f>
        <v>2603662.6037907805</v>
      </c>
      <c r="H27" s="95">
        <f t="shared" ref="H27" si="41">E27/s_1_bq</f>
        <v>96335.434806764024</v>
      </c>
      <c r="I27" s="126">
        <f t="shared" ref="I27" si="42">F27/s_1_bq</f>
        <v>8.1533494963063266E-2</v>
      </c>
      <c r="J27" s="103">
        <f t="shared" ref="J27" si="43">G27/s_1_bq</f>
        <v>96335.516340258982</v>
      </c>
    </row>
    <row r="28" spans="1:10">
      <c r="A28" s="82" t="s">
        <v>35</v>
      </c>
      <c r="B28" s="12" t="s">
        <v>50</v>
      </c>
      <c r="C28" s="95">
        <f t="shared" ref="C28:C31" si="44">IFERROR(s_C*k_decay*s_IFDres_adj*s_Fin*s_Fi,".")</f>
        <v>520732.0800365617</v>
      </c>
      <c r="D28" s="96">
        <f>IFERROR(s_C*k_decay*s_Fin*s_Fi*s_Fam*s_Foff*s_ETres*(1/24)*s_EFres*(1/365)*Isospec!R27,".")</f>
        <v>1.021762620189157</v>
      </c>
      <c r="E28" s="95">
        <f>C28*Doses!E26</f>
        <v>2603660.4001828087</v>
      </c>
      <c r="F28" s="126">
        <f>D28*Doses!L26</f>
        <v>5.1088131009457847</v>
      </c>
      <c r="G28" s="103">
        <f>SUM((C28*Doses!E26),(D28*Doses!L26))</f>
        <v>2603665.5089959097</v>
      </c>
      <c r="H28" s="95">
        <f t="shared" ref="H28:H31" si="45">E28/s_1_bq</f>
        <v>96335.434806764024</v>
      </c>
      <c r="I28" s="126">
        <f t="shared" ref="I28:I31" si="46">F28/s_1_bq</f>
        <v>0.18902608473499422</v>
      </c>
      <c r="J28" s="103">
        <f t="shared" ref="J28:J31" si="47">G28/s_1_bq</f>
        <v>96335.623832848752</v>
      </c>
    </row>
    <row r="29" spans="1:10">
      <c r="A29" s="82" t="s">
        <v>40</v>
      </c>
      <c r="B29" s="85" t="s">
        <v>50</v>
      </c>
      <c r="C29" s="95">
        <f t="shared" si="44"/>
        <v>520732.0800365617</v>
      </c>
      <c r="D29" s="96">
        <f>IFERROR(s_C*k_decay*s_Fin*s_Fi*s_Fam*s_Foff*s_ETres*(1/24)*s_EFres*(1/365)*Isospec!R28,".")</f>
        <v>0.78657934784387706</v>
      </c>
      <c r="E29" s="95">
        <f>C29*Doses!E27</f>
        <v>2603660.4001828087</v>
      </c>
      <c r="F29" s="126">
        <f>D29*Doses!L27</f>
        <v>3.9328967392193852</v>
      </c>
      <c r="G29" s="103">
        <f>SUM((C29*Doses!E27),(D29*Doses!L27))</f>
        <v>2603664.3330795481</v>
      </c>
      <c r="H29" s="95">
        <f t="shared" si="45"/>
        <v>96335.434806764024</v>
      </c>
      <c r="I29" s="126">
        <f t="shared" si="46"/>
        <v>0.14551717935111741</v>
      </c>
      <c r="J29" s="103">
        <f t="shared" si="47"/>
        <v>96335.580323943374</v>
      </c>
    </row>
    <row r="30" spans="1:10">
      <c r="A30" s="82" t="s">
        <v>41</v>
      </c>
      <c r="B30" s="12" t="s">
        <v>50</v>
      </c>
      <c r="C30" s="95">
        <f t="shared" si="44"/>
        <v>520732.0800365617</v>
      </c>
      <c r="D30" s="96">
        <f>IFERROR(s_C*k_decay*s_Fin*s_Fi*s_Fam*s_Foff*s_ETres*(1/24)*s_EFres*(1/365)*Isospec!R29,".")</f>
        <v>0.43083994429639499</v>
      </c>
      <c r="E30" s="95">
        <f>C30*Doses!E28</f>
        <v>2603660.4001828087</v>
      </c>
      <c r="F30" s="126">
        <f>D30*Doses!L28</f>
        <v>2.1541997214819748</v>
      </c>
      <c r="G30" s="103">
        <f>SUM((C30*Doses!E28),(D30*Doses!L28))</f>
        <v>2603662.55438253</v>
      </c>
      <c r="H30" s="95">
        <f t="shared" si="45"/>
        <v>96335.434806764024</v>
      </c>
      <c r="I30" s="126">
        <f t="shared" si="46"/>
        <v>7.9705389694833151E-2</v>
      </c>
      <c r="J30" s="103">
        <f t="shared" si="47"/>
        <v>96335.514512153706</v>
      </c>
    </row>
    <row r="31" spans="1:10">
      <c r="A31" s="82" t="s">
        <v>42</v>
      </c>
      <c r="B31" s="85" t="s">
        <v>50</v>
      </c>
      <c r="C31" s="95">
        <f t="shared" si="44"/>
        <v>520732.0800365617</v>
      </c>
      <c r="D31" s="96">
        <f>IFERROR(s_C*k_decay*s_Fin*s_Fi*s_Fam*s_Foff*s_ETres*(1/24)*s_EFres*(1/365)*Isospec!R30,".")</f>
        <v>0.43479260433581146</v>
      </c>
      <c r="E31" s="95">
        <f>C31*Doses!E29</f>
        <v>2603660.4001828087</v>
      </c>
      <c r="F31" s="126">
        <f>D31*Doses!L29</f>
        <v>2.1739630216790573</v>
      </c>
      <c r="G31" s="103">
        <f>SUM((C31*Doses!E29),(D31*Doses!L29))</f>
        <v>2603662.5741458302</v>
      </c>
      <c r="H31" s="95">
        <f t="shared" si="45"/>
        <v>96335.434806764024</v>
      </c>
      <c r="I31" s="126">
        <f t="shared" si="46"/>
        <v>8.0436631802125208E-2</v>
      </c>
      <c r="J31" s="103">
        <f t="shared" si="47"/>
        <v>96335.515243395814</v>
      </c>
    </row>
    <row r="32" spans="1:10" ht="13.5" thickBot="1">
      <c r="A32" s="82" t="s">
        <v>25</v>
      </c>
      <c r="B32" s="12" t="s">
        <v>50</v>
      </c>
      <c r="C32" s="95">
        <f t="shared" ref="C32" si="48">IFERROR(s_C*k_decay*s_IFDres_adj*s_Fin*s_Fi,".")</f>
        <v>520732.0800365617</v>
      </c>
      <c r="D32" s="96">
        <f>IFERROR(s_C*k_decay*s_Fin*s_Fi*s_Fam*s_Foff*s_ETres*(1/24)*s_EFres*(1/365)*Isospec!R31,".")</f>
        <v>1.2352062623176461</v>
      </c>
      <c r="E32" s="95">
        <f>C32*Doses!E30</f>
        <v>2603660.4001828087</v>
      </c>
      <c r="F32" s="126">
        <f>D32*Doses!L30</f>
        <v>6.1760313115882308</v>
      </c>
      <c r="G32" s="103">
        <f>SUM((C32*Doses!E30),(D32*Doses!L30))</f>
        <v>2603666.5762141203</v>
      </c>
      <c r="H32" s="95">
        <f t="shared" ref="H32" si="49">E32/s_1_bq</f>
        <v>96335.434806764024</v>
      </c>
      <c r="I32" s="126">
        <f t="shared" ref="I32" si="50">F32/s_1_bq</f>
        <v>0.22851315852876478</v>
      </c>
      <c r="J32" s="103">
        <f t="shared" ref="J32" si="51">G32/s_1_bq</f>
        <v>96335.663319922547</v>
      </c>
    </row>
    <row r="33" spans="1:10" ht="15">
      <c r="A33" s="104" t="s">
        <v>14</v>
      </c>
      <c r="B33" s="104" t="s">
        <v>50</v>
      </c>
      <c r="C33" s="123"/>
      <c r="D33" s="124"/>
      <c r="E33" s="105">
        <f>SUM(E34:E46)</f>
        <v>31242987.484449647</v>
      </c>
      <c r="F33" s="106">
        <f t="shared" ref="F33:G33" si="52">SUM(F34:F46)</f>
        <v>54.337797194669783</v>
      </c>
      <c r="G33" s="107">
        <f t="shared" si="52"/>
        <v>31243041.822246835</v>
      </c>
      <c r="H33" s="105">
        <f t="shared" ref="H33:H60" si="53">E33/s_1_bq</f>
        <v>1155990.5369246381</v>
      </c>
      <c r="I33" s="106">
        <f t="shared" ref="I33:I60" si="54">F33/s_1_bq</f>
        <v>2.0104984962027839</v>
      </c>
      <c r="J33" s="107">
        <f t="shared" ref="J33:J60" si="55">G33/s_1_bq</f>
        <v>1155992.5474231341</v>
      </c>
    </row>
    <row r="34" spans="1:10" ht="15">
      <c r="A34" s="108" t="s">
        <v>137</v>
      </c>
      <c r="B34" s="109">
        <v>1</v>
      </c>
      <c r="C34" s="123"/>
      <c r="D34" s="124"/>
      <c r="E34" s="110">
        <f>IFERROR(VLOOKUP("Am-241",$A$4:$J$32,3)*VLOOKUP("Am-241",Doses!$A$1:$O$30,5)*$B34,0)</f>
        <v>2603660.4001828087</v>
      </c>
      <c r="F34" s="122">
        <f>IFERROR(VLOOKUP("Am-241",$A$4:$J$32,4)*VLOOKUP("Am-241",Doses!$A$1:$O$30,12)*$B34,0)</f>
        <v>5.0001149498618318</v>
      </c>
      <c r="G34" s="112">
        <f>SUM(E34:F34)</f>
        <v>2603665.4002977586</v>
      </c>
      <c r="H34" s="110">
        <f t="shared" si="53"/>
        <v>96335.434806764024</v>
      </c>
      <c r="I34" s="111">
        <f t="shared" si="54"/>
        <v>0.18500425314488797</v>
      </c>
      <c r="J34" s="112">
        <f t="shared" si="55"/>
        <v>96335.619811017168</v>
      </c>
    </row>
    <row r="35" spans="1:10" ht="15">
      <c r="A35" s="108" t="s">
        <v>138</v>
      </c>
      <c r="B35" s="109">
        <v>1</v>
      </c>
      <c r="C35" s="123"/>
      <c r="D35" s="124"/>
      <c r="E35" s="110">
        <f>IFERROR(VLOOKUP("Np-237",$A$4:$J$32,3)*VLOOKUP("Np-237",Doses!$A$1:$O$31,5)*$B35,0)</f>
        <v>2603660.4001828087</v>
      </c>
      <c r="F35" s="122">
        <f>IFERROR(VLOOKUP("Np-237",$A$4:$J$32,4)*VLOOKUP("Np-237",Doses!$A$1:$O$31,12)*$B35,0)</f>
        <v>5.3459727033107729</v>
      </c>
      <c r="G35" s="112">
        <f t="shared" ref="G35:G46" si="56">SUM(E35:F35)</f>
        <v>2603665.7461555121</v>
      </c>
      <c r="H35" s="110">
        <f t="shared" si="53"/>
        <v>96335.434806764024</v>
      </c>
      <c r="I35" s="111">
        <f t="shared" si="54"/>
        <v>0.19780099002249879</v>
      </c>
      <c r="J35" s="112">
        <f t="shared" si="55"/>
        <v>96335.632607754043</v>
      </c>
    </row>
    <row r="36" spans="1:10" ht="15">
      <c r="A36" s="108" t="s">
        <v>139</v>
      </c>
      <c r="B36" s="109">
        <v>1</v>
      </c>
      <c r="C36" s="123"/>
      <c r="D36" s="124"/>
      <c r="E36" s="110">
        <f>IFERROR(VLOOKUP("Pa-233",$A$4:$J$32,3)*VLOOKUP("Pa-233",Doses!$A$1:$O$32,5)*$B36,0)</f>
        <v>2603660.4001828087</v>
      </c>
      <c r="F36" s="122">
        <f>IFERROR(VLOOKUP("Pa-233",$A$4:$J$32,4)*VLOOKUP("Pa-233",Doses!$A$1:$O$32,12)*$B36,0)</f>
        <v>3.5771573356719033</v>
      </c>
      <c r="G36" s="112">
        <f t="shared" si="56"/>
        <v>2603663.9773401446</v>
      </c>
      <c r="H36" s="110">
        <f t="shared" si="53"/>
        <v>96335.434806764024</v>
      </c>
      <c r="I36" s="111">
        <f t="shared" si="54"/>
        <v>0.13235482141986055</v>
      </c>
      <c r="J36" s="112">
        <f t="shared" si="55"/>
        <v>96335.567161585452</v>
      </c>
    </row>
    <row r="37" spans="1:10" ht="15">
      <c r="A37" s="108" t="s">
        <v>140</v>
      </c>
      <c r="B37" s="109">
        <v>1</v>
      </c>
      <c r="C37" s="123"/>
      <c r="D37" s="124"/>
      <c r="E37" s="110">
        <f>IFERROR(VLOOKUP("U-233",$A$4:$J$32,3)*VLOOKUP("U-233",Doses!$A$1:$O$33,5)*$B37,0)</f>
        <v>2603660.4001828087</v>
      </c>
      <c r="F37" s="122">
        <f>IFERROR(VLOOKUP("U-233",$A$4:$J$32,4)*VLOOKUP("U-233",Doses!$A$1:$O$33,12)*$B37,0)</f>
        <v>6.1760313115882308</v>
      </c>
      <c r="G37" s="112">
        <f t="shared" si="56"/>
        <v>2603666.5762141203</v>
      </c>
      <c r="H37" s="110">
        <f t="shared" si="53"/>
        <v>96335.434806764024</v>
      </c>
      <c r="I37" s="111">
        <f t="shared" si="54"/>
        <v>0.22851315852876478</v>
      </c>
      <c r="J37" s="112">
        <f t="shared" si="55"/>
        <v>96335.663319922547</v>
      </c>
    </row>
    <row r="38" spans="1:10" ht="15">
      <c r="A38" s="108" t="s">
        <v>141</v>
      </c>
      <c r="B38" s="109">
        <v>1</v>
      </c>
      <c r="C38" s="123"/>
      <c r="D38" s="124"/>
      <c r="E38" s="110">
        <f>IFERROR(VLOOKUP("Th-229",$A$4:$J$32,3)*VLOOKUP("Th-229",Doses!$A$1:$O$34,5)*$B38,0)</f>
        <v>2603660.4001828087</v>
      </c>
      <c r="F38" s="122">
        <f>IFERROR(VLOOKUP("Th-229",$A$4:$J$32,4)*VLOOKUP("Th-229",Doses!$A$1:$O$34,12)*$B38,0)</f>
        <v>5.1088131009457847</v>
      </c>
      <c r="G38" s="112">
        <f t="shared" si="56"/>
        <v>2603665.5089959097</v>
      </c>
      <c r="H38" s="110">
        <f t="shared" si="53"/>
        <v>96335.434806764024</v>
      </c>
      <c r="I38" s="111">
        <f t="shared" si="54"/>
        <v>0.18902608473499422</v>
      </c>
      <c r="J38" s="112">
        <f t="shared" si="55"/>
        <v>96335.623832848752</v>
      </c>
    </row>
    <row r="39" spans="1:10" ht="15">
      <c r="A39" s="108" t="s">
        <v>142</v>
      </c>
      <c r="B39" s="109">
        <v>1</v>
      </c>
      <c r="C39" s="123"/>
      <c r="D39" s="124"/>
      <c r="E39" s="110">
        <f>IFERROR(VLOOKUP("Ra-225",$A$4:$J$32,3)*VLOOKUP("Ra-225",Doses!$A$1:$O$35,5)*$B39,0)</f>
        <v>2603660.4001828087</v>
      </c>
      <c r="F39" s="122">
        <f>IFERROR(VLOOKUP("Ra-225",$A$4:$J$32,4)*VLOOKUP("Ra-225",Doses!$A$1:$O$35,12)*$B39,0)</f>
        <v>4.6740204966099732</v>
      </c>
      <c r="G39" s="112">
        <f t="shared" si="56"/>
        <v>2603665.0742033054</v>
      </c>
      <c r="H39" s="110">
        <f t="shared" si="53"/>
        <v>96335.434806764024</v>
      </c>
      <c r="I39" s="111">
        <f t="shared" si="54"/>
        <v>0.17293875837456918</v>
      </c>
      <c r="J39" s="112">
        <f t="shared" si="55"/>
        <v>96335.6077455224</v>
      </c>
    </row>
    <row r="40" spans="1:10" ht="15">
      <c r="A40" s="108" t="s">
        <v>143</v>
      </c>
      <c r="B40" s="109">
        <v>1</v>
      </c>
      <c r="C40" s="123"/>
      <c r="D40" s="124"/>
      <c r="E40" s="110">
        <f>IFERROR(VLOOKUP("Ac-225",$A$4:$J$32,3)*VLOOKUP("Ac-225",Doses!$A$1:$O$36,5)*$B40,0)</f>
        <v>2603660.4001828087</v>
      </c>
      <c r="F40" s="122">
        <f>IFERROR(VLOOKUP("Ac-225",$A$4:$J$32,4)*VLOOKUP("Ac-225",Doses!$A$1:$O$36,12)*$B40,0)</f>
        <v>5.4843158046903495</v>
      </c>
      <c r="G40" s="112">
        <f t="shared" si="56"/>
        <v>2603665.8844986134</v>
      </c>
      <c r="H40" s="110">
        <f t="shared" si="53"/>
        <v>96335.434806764024</v>
      </c>
      <c r="I40" s="111">
        <f t="shared" si="54"/>
        <v>0.20291968477354314</v>
      </c>
      <c r="J40" s="112">
        <f t="shared" si="55"/>
        <v>96335.637726448796</v>
      </c>
    </row>
    <row r="41" spans="1:10" ht="15">
      <c r="A41" s="108" t="s">
        <v>144</v>
      </c>
      <c r="B41" s="109">
        <v>1</v>
      </c>
      <c r="C41" s="123"/>
      <c r="D41" s="124"/>
      <c r="E41" s="110">
        <f>IFERROR(VLOOKUP("Fr-221",$A$4:$J$32,3)*VLOOKUP("Fr-221",Doses!$A$1:$O$37,5)*$B41,0)</f>
        <v>2603660.4001828087</v>
      </c>
      <c r="F41" s="122">
        <f>IFERROR(VLOOKUP("Fr-221",$A$4:$J$32,4)*VLOOKUP("Fr-221",Doses!$A$1:$O$37,12)*$B41,0)</f>
        <v>2.8854418287740211</v>
      </c>
      <c r="G41" s="112">
        <f t="shared" si="56"/>
        <v>2603663.2856246377</v>
      </c>
      <c r="H41" s="110">
        <f t="shared" si="53"/>
        <v>96335.434806764024</v>
      </c>
      <c r="I41" s="111">
        <f t="shared" si="54"/>
        <v>0.10676134766463889</v>
      </c>
      <c r="J41" s="112">
        <f t="shared" si="55"/>
        <v>96335.541568111687</v>
      </c>
    </row>
    <row r="42" spans="1:10" ht="15">
      <c r="A42" s="108" t="s">
        <v>145</v>
      </c>
      <c r="B42" s="109">
        <v>1</v>
      </c>
      <c r="C42" s="123"/>
      <c r="D42" s="124"/>
      <c r="E42" s="110">
        <f>IFERROR(VLOOKUP("At-217",$A$4:$J$32,3)*VLOOKUP("At-217",Doses!$A$1:$O$38,5)*$B42,0)</f>
        <v>2603660.4001828087</v>
      </c>
      <c r="F42" s="122">
        <f>IFERROR(VLOOKUP("At-217",$A$4:$J$32,4)*VLOOKUP("At-217",Doses!$A$1:$O$38,12)*$B42,0)</f>
        <v>2.7273354271973633</v>
      </c>
      <c r="G42" s="112">
        <f t="shared" si="56"/>
        <v>2603663.1275182362</v>
      </c>
      <c r="H42" s="110">
        <f t="shared" si="53"/>
        <v>96335.434806764024</v>
      </c>
      <c r="I42" s="111">
        <f t="shared" si="54"/>
        <v>0.10091141080630255</v>
      </c>
      <c r="J42" s="112">
        <f t="shared" si="55"/>
        <v>96335.53571817484</v>
      </c>
    </row>
    <row r="43" spans="1:10" ht="15">
      <c r="A43" s="108" t="s">
        <v>146</v>
      </c>
      <c r="B43" s="113">
        <v>0.99987999999999999</v>
      </c>
      <c r="C43" s="123"/>
      <c r="D43" s="124"/>
      <c r="E43" s="110">
        <f>IFERROR(VLOOKUP("Bi-213",$A$4:$J$32,3)*VLOOKUP("Bi-213",Doses!$A$1:$O$39,5)*$B43,0)</f>
        <v>2603347.9609347866</v>
      </c>
      <c r="F43" s="122">
        <f>IFERROR(VLOOKUP("Bi-213",$A$4:$J$32,4)*VLOOKUP("Bi-213",Doses!$A$1:$O$39,12)*$B43,0)</f>
        <v>2.3219091106243956</v>
      </c>
      <c r="G43" s="112">
        <f t="shared" si="56"/>
        <v>2603350.2828438971</v>
      </c>
      <c r="H43" s="110">
        <f t="shared" si="53"/>
        <v>96323.874554587208</v>
      </c>
      <c r="I43" s="111">
        <f t="shared" si="54"/>
        <v>8.5910637093102732E-2</v>
      </c>
      <c r="J43" s="112">
        <f t="shared" si="55"/>
        <v>96323.960465224285</v>
      </c>
    </row>
    <row r="44" spans="1:10" ht="15">
      <c r="A44" s="108" t="s">
        <v>147</v>
      </c>
      <c r="B44" s="109">
        <v>0.97898250799999997</v>
      </c>
      <c r="C44" s="123"/>
      <c r="D44" s="124"/>
      <c r="E44" s="110">
        <f>IFERROR(VLOOKUP("Po-213",$A$4:$J$32,3)*VLOOKUP("Po-213",Doses!$A$1:$O$40,5)*$B44,0)</f>
        <v>2548937.9885512497</v>
      </c>
      <c r="F44" s="122">
        <f>IFERROR(VLOOKUP("Po-213",$A$4:$J$32,4)*VLOOKUP("Po-213",Doses!$A$1:$O$40,12)*$B44,0)</f>
        <v>2.0992498834726767</v>
      </c>
      <c r="G44" s="112">
        <f t="shared" si="56"/>
        <v>2548940.0878011333</v>
      </c>
      <c r="H44" s="110">
        <f t="shared" si="53"/>
        <v>94310.705576396329</v>
      </c>
      <c r="I44" s="111">
        <f t="shared" si="54"/>
        <v>7.7672245688489114E-2</v>
      </c>
      <c r="J44" s="112">
        <f t="shared" si="55"/>
        <v>94310.783248642023</v>
      </c>
    </row>
    <row r="45" spans="1:10" ht="15">
      <c r="A45" s="108" t="s">
        <v>148</v>
      </c>
      <c r="B45" s="109">
        <v>2.0897492E-2</v>
      </c>
      <c r="C45" s="123"/>
      <c r="D45" s="124"/>
      <c r="E45" s="110">
        <f>IFERROR(VLOOKUP("Tl-209",$A$4:$J$32,3)*VLOOKUP("Tl-209",Doses!$A$1:$O$41,5)*$B45,0)</f>
        <v>54409.972383537046</v>
      </c>
      <c r="F45" s="122">
        <f>IFERROR(VLOOKUP("Tl-209",$A$4:$J$32,4)*VLOOKUP("Tl-209",Doses!$A$1:$O$41,12)*$B45,0)</f>
        <v>4.5017371446071798E-2</v>
      </c>
      <c r="G45" s="112">
        <f t="shared" si="56"/>
        <v>54410.017400908495</v>
      </c>
      <c r="H45" s="110">
        <f t="shared" si="53"/>
        <v>2013.1689781908728</v>
      </c>
      <c r="I45" s="111">
        <f t="shared" si="54"/>
        <v>1.6656427435046582E-3</v>
      </c>
      <c r="J45" s="112">
        <f t="shared" si="55"/>
        <v>2013.1706438336164</v>
      </c>
    </row>
    <row r="46" spans="1:10" ht="15">
      <c r="A46" s="108" t="s">
        <v>149</v>
      </c>
      <c r="B46" s="109">
        <v>0.99987999999999999</v>
      </c>
      <c r="C46" s="123"/>
      <c r="D46" s="124"/>
      <c r="E46" s="110">
        <f>IFERROR(VLOOKUP("Pb-209",$A$4:$J$32,3)*VLOOKUP("Pb-209",Doses!$A$1:$O$42,5)*$B46,0)</f>
        <v>2603347.9609347866</v>
      </c>
      <c r="F46" s="122">
        <f>IFERROR(VLOOKUP("Pb-209",$A$4:$J$32,4)*VLOOKUP("Pb-209",Doses!$A$1:$O$42,12)*$B46,0)</f>
        <v>8.8924178704764092</v>
      </c>
      <c r="G46" s="112">
        <f t="shared" si="56"/>
        <v>2603356.8533526571</v>
      </c>
      <c r="H46" s="110">
        <f t="shared" si="53"/>
        <v>96323.874554587208</v>
      </c>
      <c r="I46" s="111">
        <f t="shared" si="54"/>
        <v>0.32901946120762748</v>
      </c>
      <c r="J46" s="112">
        <f t="shared" si="55"/>
        <v>96324.203574048413</v>
      </c>
    </row>
    <row r="47" spans="1:10" ht="15">
      <c r="A47" s="104" t="s">
        <v>17</v>
      </c>
      <c r="B47" s="104" t="s">
        <v>50</v>
      </c>
      <c r="C47" s="123"/>
      <c r="D47" s="125"/>
      <c r="E47" s="114">
        <f>SUM(E48:E49)</f>
        <v>5061489.7813513782</v>
      </c>
      <c r="F47" s="121">
        <f>SUM(F48:F49)</f>
        <v>4.4122533127200949</v>
      </c>
      <c r="G47" s="116">
        <f>SUM(G48:G49)</f>
        <v>5061494.193604691</v>
      </c>
      <c r="H47" s="114">
        <f t="shared" si="53"/>
        <v>187275.12191000118</v>
      </c>
      <c r="I47" s="115">
        <f t="shared" si="54"/>
        <v>0.16325337257064368</v>
      </c>
      <c r="J47" s="116">
        <f t="shared" si="55"/>
        <v>187275.28516337374</v>
      </c>
    </row>
    <row r="48" spans="1:10" ht="15">
      <c r="A48" s="108" t="s">
        <v>150</v>
      </c>
      <c r="B48" s="109">
        <v>1</v>
      </c>
      <c r="C48" s="123"/>
      <c r="D48" s="124"/>
      <c r="E48" s="110">
        <f>IFERROR(VLOOKUP("Cs-137",$A$4:$J$32,3)*VLOOKUP("Cs-137",Doses!$A$1:$O$40,5)*$B48,0)</f>
        <v>2603660.4001828087</v>
      </c>
      <c r="F48" s="122">
        <f>IFERROR(VLOOKUP("Cs-137",$A$4:$J$32,4)*VLOOKUP("Cs-137",Doses!$A$1:$O$40,12)*$B48,0)</f>
        <v>2.3320694232557155</v>
      </c>
      <c r="G48" s="112">
        <f t="shared" ref="G48:G49" si="57">SUM(E48:F48)</f>
        <v>2603662.7322522318</v>
      </c>
      <c r="H48" s="110">
        <f t="shared" si="53"/>
        <v>96335.434806764024</v>
      </c>
      <c r="I48" s="111">
        <f t="shared" si="54"/>
        <v>8.6286568660461568E-2</v>
      </c>
      <c r="J48" s="112">
        <f t="shared" si="55"/>
        <v>96335.521093332674</v>
      </c>
    </row>
    <row r="49" spans="1:10" ht="15">
      <c r="A49" s="108" t="s">
        <v>151</v>
      </c>
      <c r="B49" s="109">
        <v>0.94399</v>
      </c>
      <c r="C49" s="123"/>
      <c r="D49" s="124"/>
      <c r="E49" s="110">
        <f>IFERROR(VLOOKUP("Ba-137m",$A$4:$J$32,3)*VLOOKUP("Ba-137m",Doses!$A$1:$O$40,5)*$B49,0)</f>
        <v>2457829.3811685694</v>
      </c>
      <c r="F49" s="122">
        <f>IFERROR(VLOOKUP("Ba-137m",$A$4:$J$32,4)*VLOOKUP("Ba-137m",Doses!$A$1:$O$40,12)*$B49,0)</f>
        <v>2.0801838894643789</v>
      </c>
      <c r="G49" s="112">
        <f t="shared" si="57"/>
        <v>2457831.4613524587</v>
      </c>
      <c r="H49" s="110">
        <f t="shared" si="53"/>
        <v>90939.687103237156</v>
      </c>
      <c r="I49" s="111">
        <f t="shared" si="54"/>
        <v>7.6966803910182097E-2</v>
      </c>
      <c r="J49" s="112">
        <f t="shared" si="55"/>
        <v>90939.76407004107</v>
      </c>
    </row>
    <row r="50" spans="1:10" ht="15">
      <c r="A50" s="104" t="s">
        <v>27</v>
      </c>
      <c r="B50" s="104" t="s">
        <v>50</v>
      </c>
      <c r="C50" s="123"/>
      <c r="D50" s="125"/>
      <c r="E50" s="114">
        <f>SUM(E51:E64)</f>
        <v>23432947.137416109</v>
      </c>
      <c r="F50" s="121">
        <f>SUM(F51:F64)</f>
        <v>32.650226697369526</v>
      </c>
      <c r="G50" s="116">
        <f>SUM(G51:G64)</f>
        <v>23432979.787642799</v>
      </c>
      <c r="H50" s="114">
        <f t="shared" si="53"/>
        <v>867019.04408439691</v>
      </c>
      <c r="I50" s="115">
        <f t="shared" si="54"/>
        <v>1.2080583878026736</v>
      </c>
      <c r="J50" s="116">
        <f t="shared" si="55"/>
        <v>867020.25214278442</v>
      </c>
    </row>
    <row r="51" spans="1:10" ht="15">
      <c r="A51" s="108" t="s">
        <v>152</v>
      </c>
      <c r="B51" s="109">
        <v>1</v>
      </c>
      <c r="C51" s="123"/>
      <c r="D51" s="124"/>
      <c r="E51" s="110">
        <f>IFERROR(VLOOKUP("Ra-226",$A$4:$J$32,3)*VLOOKUP("Ra-226",Doses!$A$1:$O$40,5)*$B51,0)</f>
        <v>2603660.4001828087</v>
      </c>
      <c r="F51" s="122">
        <f>IFERROR(VLOOKUP("Ra-226",$A$4:$J$32,4)*VLOOKUP("Ra-226",Doses!$A$1:$O$40,12)*$B51,0)</f>
        <v>3.1226014311390093</v>
      </c>
      <c r="G51" s="112">
        <f t="shared" ref="G51:G64" si="58">SUM(E51:F51)</f>
        <v>2603663.5227842401</v>
      </c>
      <c r="H51" s="110">
        <f t="shared" si="53"/>
        <v>96335.434806764024</v>
      </c>
      <c r="I51" s="111">
        <f t="shared" si="54"/>
        <v>0.11553625295214347</v>
      </c>
      <c r="J51" s="112">
        <f t="shared" si="55"/>
        <v>96335.550343016977</v>
      </c>
    </row>
    <row r="52" spans="1:10" ht="15">
      <c r="A52" s="108" t="s">
        <v>153</v>
      </c>
      <c r="B52" s="109">
        <v>1</v>
      </c>
      <c r="C52" s="123"/>
      <c r="D52" s="124"/>
      <c r="E52" s="110">
        <f>IFERROR(VLOOKUP("Rn-222",$A$4:$J$32,3)*VLOOKUP("Rn-222",Doses!$A$1:$O$40,5)*$B52,0)</f>
        <v>2603660.4001828087</v>
      </c>
      <c r="F52" s="122">
        <f>IFERROR(VLOOKUP("Rn-222",$A$4:$J$32,4)*VLOOKUP("Rn-222",Doses!$A$1:$O$40,12)*$B52,0)</f>
        <v>2.2036079719746806</v>
      </c>
      <c r="G52" s="112">
        <f t="shared" si="58"/>
        <v>2603662.6037907805</v>
      </c>
      <c r="H52" s="110">
        <f t="shared" si="53"/>
        <v>96335.434806764024</v>
      </c>
      <c r="I52" s="111">
        <f t="shared" si="54"/>
        <v>8.1533494963063266E-2</v>
      </c>
      <c r="J52" s="112">
        <f t="shared" si="55"/>
        <v>96335.516340258982</v>
      </c>
    </row>
    <row r="53" spans="1:10" ht="15">
      <c r="A53" s="108" t="s">
        <v>154</v>
      </c>
      <c r="B53" s="109">
        <v>1</v>
      </c>
      <c r="C53" s="123"/>
      <c r="D53" s="124"/>
      <c r="E53" s="110">
        <f>IFERROR(VLOOKUP("Po-218",$A$4:$J$32,3)*VLOOKUP("Po-218",Doses!$A$1:$O$40,5)*$B53,0)</f>
        <v>2603660.4001828087</v>
      </c>
      <c r="F53" s="122">
        <f>IFERROR(VLOOKUP("Po-218",$A$4:$J$32,4)*VLOOKUP("Po-218",Doses!$A$1:$O$40,12)*$B53,0)</f>
        <v>8.8934850886870525</v>
      </c>
      <c r="G53" s="112">
        <f t="shared" si="58"/>
        <v>2603669.2936678976</v>
      </c>
      <c r="H53" s="110">
        <f t="shared" si="53"/>
        <v>96335.434806764024</v>
      </c>
      <c r="I53" s="111">
        <f t="shared" si="54"/>
        <v>0.32905894828142129</v>
      </c>
      <c r="J53" s="112">
        <f t="shared" si="55"/>
        <v>96335.763865712303</v>
      </c>
    </row>
    <row r="54" spans="1:10" ht="15">
      <c r="A54" s="108" t="s">
        <v>156</v>
      </c>
      <c r="B54" s="109">
        <v>2.0000000000000001E-4</v>
      </c>
      <c r="C54" s="123"/>
      <c r="D54" s="124"/>
      <c r="E54" s="110">
        <f>IFERROR(VLOOKUP("At-218",$A$4:$J$32,3)*VLOOKUP("At-218",Doses!$A$1:$O$40,5)*$B54,0)</f>
        <v>520.7320800365618</v>
      </c>
      <c r="F54" s="122">
        <f>IFERROR(VLOOKUP("At-218",$A$4:$J$32,4)*VLOOKUP("At-218",Doses!$A$1:$O$40,12)*$B54,0)</f>
        <v>1.7786970177374106E-3</v>
      </c>
      <c r="G54" s="112">
        <f>SUM(E54:F54)</f>
        <v>520.7338587335795</v>
      </c>
      <c r="H54" s="110">
        <f t="shared" si="53"/>
        <v>19.267086961352806</v>
      </c>
      <c r="I54" s="111">
        <f t="shared" si="54"/>
        <v>6.581178965628426E-5</v>
      </c>
      <c r="J54" s="112">
        <f t="shared" si="55"/>
        <v>19.26715277314246</v>
      </c>
    </row>
    <row r="55" spans="1:10" ht="15">
      <c r="A55" s="108" t="s">
        <v>158</v>
      </c>
      <c r="B55" s="109">
        <v>1.9999999999999999E-7</v>
      </c>
      <c r="C55" s="123"/>
      <c r="D55" s="124"/>
      <c r="E55" s="110">
        <f>IFERROR(VLOOKUP("Rn-218",$A$4:$J$32,3)*VLOOKUP("Rn-218",Doses!$A$1:$O$40,5)*$B55,0)</f>
        <v>0.52073208003656168</v>
      </c>
      <c r="F55" s="122">
        <f>IFERROR(VLOOKUP("Rn-218",$A$4:$J$32,4)*VLOOKUP("Rn-218",Doses!$A$1:$O$40,12)*$B55,0)</f>
        <v>4.407215943949361E-7</v>
      </c>
      <c r="G55" s="112">
        <f>SUM(E55:F55)</f>
        <v>0.52073252075815613</v>
      </c>
      <c r="H55" s="110">
        <f t="shared" si="53"/>
        <v>1.9267086961352802E-2</v>
      </c>
      <c r="I55" s="111">
        <f t="shared" si="54"/>
        <v>1.6306698992612653E-8</v>
      </c>
      <c r="J55" s="112">
        <f t="shared" si="55"/>
        <v>1.9267103268051797E-2</v>
      </c>
    </row>
    <row r="56" spans="1:10" ht="15">
      <c r="A56" s="108" t="s">
        <v>155</v>
      </c>
      <c r="B56" s="109">
        <v>0.99980000000000002</v>
      </c>
      <c r="C56" s="123"/>
      <c r="D56" s="124"/>
      <c r="E56" s="110">
        <f>IFERROR(VLOOKUP("Pb-214",$A$4:$J$32,3)*VLOOKUP("Pb-214",Doses!$A$1:$O$40,5)*$B56,0)</f>
        <v>2603139.6681027724</v>
      </c>
      <c r="F56" s="122">
        <f>IFERROR(VLOOKUP("Pb-214",$A$4:$J$32,4)*VLOOKUP("Pb-214",Doses!$A$1:$O$40,12)*$B56,0)</f>
        <v>2.6872712650378374</v>
      </c>
      <c r="G56" s="112">
        <f t="shared" si="58"/>
        <v>2603142.3553740373</v>
      </c>
      <c r="H56" s="110">
        <f t="shared" si="53"/>
        <v>96316.167719802674</v>
      </c>
      <c r="I56" s="111">
        <f t="shared" si="54"/>
        <v>9.9429036806400084E-2</v>
      </c>
      <c r="J56" s="112">
        <f t="shared" si="55"/>
        <v>96316.267148839484</v>
      </c>
    </row>
    <row r="57" spans="1:10" ht="15">
      <c r="A57" s="108" t="s">
        <v>157</v>
      </c>
      <c r="B57" s="109">
        <v>0.99999979999999999</v>
      </c>
      <c r="C57" s="123"/>
      <c r="D57" s="124"/>
      <c r="E57" s="110">
        <f>IFERROR(VLOOKUP("Bi-214",$A$4:$J$32,3)*VLOOKUP("Bi-214",Doses!$A$1:$O$40,5)*$B57,0)</f>
        <v>2603659.8794507287</v>
      </c>
      <c r="F57" s="122">
        <f>IFERROR(VLOOKUP("Bi-214",$A$4:$J$32,4)*VLOOKUP("Bi-214",Doses!$A$1:$O$40,12)*$B57,0)</f>
        <v>2.0949094019087635</v>
      </c>
      <c r="G57" s="112">
        <f t="shared" si="58"/>
        <v>2603661.9743601307</v>
      </c>
      <c r="H57" s="110">
        <f t="shared" si="53"/>
        <v>96335.415539677051</v>
      </c>
      <c r="I57" s="111">
        <f t="shared" si="54"/>
        <v>7.7511647870624326E-2</v>
      </c>
      <c r="J57" s="112">
        <f t="shared" si="55"/>
        <v>96335.493051324927</v>
      </c>
    </row>
    <row r="58" spans="1:10" ht="15">
      <c r="A58" s="108" t="s">
        <v>159</v>
      </c>
      <c r="B58" s="109">
        <v>0.99979000004200003</v>
      </c>
      <c r="C58" s="123"/>
      <c r="D58" s="124"/>
      <c r="E58" s="110">
        <f>IFERROR(VLOOKUP("Po-214",$A$4:$J$32,3)*VLOOKUP("Po-214",Doses!$A$1:$O$40,5)*$B58,0)</f>
        <v>2603113.6316081244</v>
      </c>
      <c r="F58" s="122">
        <f>IFERROR(VLOOKUP("Po-214",$A$4:$J$32,4)*VLOOKUP("Po-214",Doses!$A$1:$O$40,12)*$B58,0)</f>
        <v>2.1339881897260695</v>
      </c>
      <c r="G58" s="112">
        <f t="shared" si="58"/>
        <v>2603115.7655963139</v>
      </c>
      <c r="H58" s="110">
        <f t="shared" si="53"/>
        <v>96315.204369500701</v>
      </c>
      <c r="I58" s="111">
        <f t="shared" si="54"/>
        <v>7.8957563019864646E-2</v>
      </c>
      <c r="J58" s="112">
        <f t="shared" si="55"/>
        <v>96315.283327063706</v>
      </c>
    </row>
    <row r="59" spans="1:10" ht="15">
      <c r="A59" s="108" t="s">
        <v>160</v>
      </c>
      <c r="B59" s="109">
        <v>2.0999995799999999E-4</v>
      </c>
      <c r="C59" s="123"/>
      <c r="D59" s="124"/>
      <c r="E59" s="110">
        <f>IFERROR(VLOOKUP("Tl-210",$A$4:$J$32,3)*VLOOKUP("Tl-210",Doses!$A$1:$O$40,5)*$B59,0)</f>
        <v>546.768574684653</v>
      </c>
      <c r="F59" s="122">
        <f>IFERROR(VLOOKUP("Tl-210",$A$4:$J$32,4)*VLOOKUP("Tl-210",Doses!$A$1:$O$40,12)*$B59,0)</f>
        <v>4.5653214324615512E-4</v>
      </c>
      <c r="G59" s="112">
        <f t="shared" si="58"/>
        <v>546.76903121679629</v>
      </c>
      <c r="H59" s="110">
        <f t="shared" si="53"/>
        <v>20.230437263332181</v>
      </c>
      <c r="I59" s="111">
        <f t="shared" si="54"/>
        <v>1.6891689300107757E-5</v>
      </c>
      <c r="J59" s="112">
        <f t="shared" si="55"/>
        <v>20.230454155021484</v>
      </c>
    </row>
    <row r="60" spans="1:10" ht="15">
      <c r="A60" s="108" t="s">
        <v>161</v>
      </c>
      <c r="B60" s="109">
        <v>1</v>
      </c>
      <c r="C60" s="123"/>
      <c r="D60" s="124"/>
      <c r="E60" s="110">
        <f>IFERROR(VLOOKUP("Pb-210",$A$4:$J$32,3)*VLOOKUP("Pb-210",Doses!$A$1:$O$40,5)*$B60,0)</f>
        <v>2603660.4001828087</v>
      </c>
      <c r="F60" s="122">
        <f>IFERROR(VLOOKUP("Pb-210",$A$4:$J$32,4)*VLOOKUP("Pb-210",Doses!$A$1:$O$40,12)*$B60,0)</f>
        <v>6.8282202180919471</v>
      </c>
      <c r="G60" s="112">
        <f t="shared" si="58"/>
        <v>2603667.2284030267</v>
      </c>
      <c r="H60" s="110">
        <f t="shared" si="53"/>
        <v>96335.434806764024</v>
      </c>
      <c r="I60" s="111">
        <f t="shared" si="54"/>
        <v>0.25264414806940227</v>
      </c>
      <c r="J60" s="112">
        <f t="shared" si="55"/>
        <v>96335.687450912083</v>
      </c>
    </row>
    <row r="61" spans="1:10" ht="15">
      <c r="A61" s="108" t="s">
        <v>162</v>
      </c>
      <c r="B61" s="109">
        <v>1</v>
      </c>
      <c r="C61" s="123"/>
      <c r="D61" s="124"/>
      <c r="E61" s="110">
        <f>IFERROR(VLOOKUP("Bi-210",$A$4:$J$32,3)*VLOOKUP("Bi-210",Doses!$A$1:$O$40,5)*$B61,0)</f>
        <v>2603660.4001828087</v>
      </c>
      <c r="F61" s="122">
        <f>IFERROR(VLOOKUP("Bi-210",$A$4:$J$32,4)*VLOOKUP("Bi-210",Doses!$A$1:$O$40,12)*$B61,0)</f>
        <v>2.5494657254236222</v>
      </c>
      <c r="G61" s="112">
        <f t="shared" si="58"/>
        <v>2603662.9496485339</v>
      </c>
      <c r="H61" s="110">
        <f t="shared" ref="H61:H78" si="59">E61/s_1_bq</f>
        <v>96335.434806764024</v>
      </c>
      <c r="I61" s="111">
        <f t="shared" ref="I61:I78" si="60">F61/s_1_bq</f>
        <v>9.4330231840674114E-2</v>
      </c>
      <c r="J61" s="112">
        <f t="shared" ref="J61:J78" si="61">G61/s_1_bq</f>
        <v>96335.529136995858</v>
      </c>
    </row>
    <row r="62" spans="1:10" ht="15">
      <c r="A62" s="108" t="s">
        <v>164</v>
      </c>
      <c r="B62" s="109">
        <v>1</v>
      </c>
      <c r="C62" s="123"/>
      <c r="D62" s="124"/>
      <c r="E62" s="110">
        <f>IFERROR(VLOOKUP("Po-210",$A$4:$J$32,3)*VLOOKUP("Po-210",Doses!$A$1:$O$40,5)*$B62,0)</f>
        <v>2603660.4001828087</v>
      </c>
      <c r="F62" s="122">
        <f>IFERROR(VLOOKUP("Po-210",$A$4:$J$32,4)*VLOOKUP("Po-210",Doses!$A$1:$O$40,12)*$B62,0)</f>
        <v>2.1344364212848927</v>
      </c>
      <c r="G62" s="112">
        <f>SUM(E62:F62)</f>
        <v>2603662.5346192298</v>
      </c>
      <c r="H62" s="110">
        <f t="shared" si="59"/>
        <v>96335.434806764024</v>
      </c>
      <c r="I62" s="111">
        <f t="shared" si="60"/>
        <v>7.8974147587541108E-2</v>
      </c>
      <c r="J62" s="112">
        <f t="shared" si="61"/>
        <v>96335.513780911599</v>
      </c>
    </row>
    <row r="63" spans="1:10" ht="15">
      <c r="A63" s="108" t="s">
        <v>163</v>
      </c>
      <c r="B63" s="109">
        <v>1.9000000000000001E-8</v>
      </c>
      <c r="C63" s="123"/>
      <c r="D63" s="124"/>
      <c r="E63" s="110">
        <f>IFERROR(VLOOKUP("Hg-206",$A$4:$J$32,3)*VLOOKUP("Hg-206",Doses!$A$1:$O$40,5)*$B63,0)</f>
        <v>4.9469547603473371E-2</v>
      </c>
      <c r="F63" s="122">
        <f>IFERROR(VLOOKUP("Hg-206",$A$4:$J$32,4)*VLOOKUP("Hg-206",Doses!$A$1:$O$40,12)*$B63,0)</f>
        <v>4.8064346079304251E-8</v>
      </c>
      <c r="G63" s="112">
        <f t="shared" si="58"/>
        <v>4.9469595667819451E-2</v>
      </c>
      <c r="H63" s="110">
        <f t="shared" si="59"/>
        <v>1.8303732613285165E-3</v>
      </c>
      <c r="I63" s="111">
        <f t="shared" si="60"/>
        <v>1.7783808049342592E-9</v>
      </c>
      <c r="J63" s="112">
        <f t="shared" si="61"/>
        <v>1.8303750397093215E-3</v>
      </c>
    </row>
    <row r="64" spans="1:10" ht="15.75" thickBot="1">
      <c r="A64" s="108" t="s">
        <v>165</v>
      </c>
      <c r="B64" s="109">
        <v>1.339E-6</v>
      </c>
      <c r="C64" s="123"/>
      <c r="D64" s="124"/>
      <c r="E64" s="117">
        <f>IFERROR(VLOOKUP("Tl-206",$A$4:$J$32,3)*VLOOKUP("Tl-206",Doses!$A$1:$O$40,5)*$B64,0)</f>
        <v>3.4863012758447809</v>
      </c>
      <c r="F64" s="118">
        <f>IFERROR(VLOOKUP("Tl-206",$A$4:$J$32,4)*VLOOKUP("Tl-206",Doses!$A$1:$O$40,12)*$B64,0)</f>
        <v>5.2661487338147567E-6</v>
      </c>
      <c r="G64" s="112">
        <f t="shared" si="58"/>
        <v>3.4863065419935149</v>
      </c>
      <c r="H64" s="110">
        <f t="shared" si="59"/>
        <v>0.12899314720625701</v>
      </c>
      <c r="I64" s="111">
        <f t="shared" si="60"/>
        <v>1.948475031511462E-7</v>
      </c>
      <c r="J64" s="112">
        <f t="shared" si="61"/>
        <v>0.12899334205376017</v>
      </c>
    </row>
    <row r="65" spans="1:10" ht="15">
      <c r="A65" s="104" t="s">
        <v>31</v>
      </c>
      <c r="B65" s="104" t="s">
        <v>50</v>
      </c>
      <c r="C65" s="123"/>
      <c r="D65" s="125"/>
      <c r="E65" s="114">
        <f>SUM(E66:E78)</f>
        <v>20829286.7372333</v>
      </c>
      <c r="F65" s="121">
        <f t="shared" ref="F65" si="62">SUM(F66:F78)</f>
        <v>29.527625266230523</v>
      </c>
      <c r="G65" s="116">
        <f t="shared" ref="G65" si="63">SUM(G66:G78)</f>
        <v>20829316.264858559</v>
      </c>
      <c r="H65" s="114">
        <f t="shared" si="59"/>
        <v>770683.6092776329</v>
      </c>
      <c r="I65" s="115">
        <f t="shared" si="60"/>
        <v>1.0925221348505305</v>
      </c>
      <c r="J65" s="116">
        <f t="shared" si="61"/>
        <v>770684.70179976744</v>
      </c>
    </row>
    <row r="66" spans="1:10" ht="15">
      <c r="A66" s="108" t="s">
        <v>153</v>
      </c>
      <c r="B66" s="109">
        <v>1</v>
      </c>
      <c r="C66" s="123"/>
      <c r="D66" s="124"/>
      <c r="E66" s="110">
        <f>IFERROR(VLOOKUP("Rn-222",$A$4:$J$32,3)*VLOOKUP("Rn-222",Doses!$A$1:$O$40,5)*$B66,0)</f>
        <v>2603660.4001828087</v>
      </c>
      <c r="F66" s="122">
        <f>IFERROR(VLOOKUP("Rn-222",$A$4:$J$32,4)*VLOOKUP("Rn-222",Doses!$A$1:$O$40,12)*$B66,0)</f>
        <v>2.2036079719746806</v>
      </c>
      <c r="G66" s="112">
        <f t="shared" ref="G66:G67" si="64">SUM(E66:F66)</f>
        <v>2603662.6037907805</v>
      </c>
      <c r="H66" s="110">
        <f t="shared" si="59"/>
        <v>96335.434806764024</v>
      </c>
      <c r="I66" s="111">
        <f t="shared" si="60"/>
        <v>8.1533494963063266E-2</v>
      </c>
      <c r="J66" s="112">
        <f t="shared" si="61"/>
        <v>96335.516340258982</v>
      </c>
    </row>
    <row r="67" spans="1:10" ht="15">
      <c r="A67" s="108" t="s">
        <v>154</v>
      </c>
      <c r="B67" s="109">
        <v>1</v>
      </c>
      <c r="C67" s="123"/>
      <c r="D67" s="124"/>
      <c r="E67" s="110">
        <f>IFERROR(VLOOKUP("Po-218",$A$4:$J$32,3)*VLOOKUP("Po-218",Doses!$A$1:$O$40,5)*$B67,0)</f>
        <v>2603660.4001828087</v>
      </c>
      <c r="F67" s="122">
        <f>IFERROR(VLOOKUP("Po-218",$A$4:$J$32,4)*VLOOKUP("Po-218",Doses!$A$1:$O$40,12)*$B67,0)</f>
        <v>8.8934850886870525</v>
      </c>
      <c r="G67" s="112">
        <f t="shared" si="64"/>
        <v>2603669.2936678976</v>
      </c>
      <c r="H67" s="110">
        <f t="shared" si="59"/>
        <v>96335.434806764024</v>
      </c>
      <c r="I67" s="111">
        <f t="shared" si="60"/>
        <v>0.32905894828142129</v>
      </c>
      <c r="J67" s="112">
        <f t="shared" si="61"/>
        <v>96335.763865712303</v>
      </c>
    </row>
    <row r="68" spans="1:10" ht="15">
      <c r="A68" s="108" t="s">
        <v>156</v>
      </c>
      <c r="B68" s="109">
        <v>2.0000000000000001E-4</v>
      </c>
      <c r="C68" s="123"/>
      <c r="D68" s="124"/>
      <c r="E68" s="110">
        <f>IFERROR(VLOOKUP("At-218",$A$4:$J$32,3)*VLOOKUP("At-218",Doses!$A$1:$O$40,5)*$B68,0)</f>
        <v>520.7320800365618</v>
      </c>
      <c r="F68" s="122">
        <f>IFERROR(VLOOKUP("At-218",$A$4:$J$32,4)*VLOOKUP("At-218",Doses!$A$1:$O$40,12)*$B68,0)</f>
        <v>1.7786970177374106E-3</v>
      </c>
      <c r="G68" s="112">
        <f>SUM(E68:F68)</f>
        <v>520.7338587335795</v>
      </c>
      <c r="H68" s="110">
        <f t="shared" si="59"/>
        <v>19.267086961352806</v>
      </c>
      <c r="I68" s="111">
        <f t="shared" si="60"/>
        <v>6.581178965628426E-5</v>
      </c>
      <c r="J68" s="112">
        <f t="shared" si="61"/>
        <v>19.26715277314246</v>
      </c>
    </row>
    <row r="69" spans="1:10" ht="15">
      <c r="A69" s="108" t="s">
        <v>158</v>
      </c>
      <c r="B69" s="109">
        <v>1.9999999999999999E-7</v>
      </c>
      <c r="C69" s="123"/>
      <c r="D69" s="124"/>
      <c r="E69" s="110">
        <f>IFERROR(VLOOKUP("Rn-218",$A$4:$J$32,3)*VLOOKUP("Rn-218",Doses!$A$1:$O$40,5)*$B69,0)</f>
        <v>0.52073208003656168</v>
      </c>
      <c r="F69" s="122">
        <f>IFERROR(VLOOKUP("Rn-218",$A$4:$J$32,4)*VLOOKUP("Rn-218",Doses!$A$1:$O$40,12)*$B69,0)</f>
        <v>4.407215943949361E-7</v>
      </c>
      <c r="G69" s="112">
        <f>SUM(E69:F69)</f>
        <v>0.52073252075815613</v>
      </c>
      <c r="H69" s="110">
        <f t="shared" si="59"/>
        <v>1.9267086961352802E-2</v>
      </c>
      <c r="I69" s="111">
        <f t="shared" si="60"/>
        <v>1.6306698992612653E-8</v>
      </c>
      <c r="J69" s="112">
        <f t="shared" si="61"/>
        <v>1.9267103268051797E-2</v>
      </c>
    </row>
    <row r="70" spans="1:10" ht="15">
      <c r="A70" s="108" t="s">
        <v>155</v>
      </c>
      <c r="B70" s="109">
        <v>0.99980000000000002</v>
      </c>
      <c r="C70" s="123"/>
      <c r="D70" s="124"/>
      <c r="E70" s="110">
        <f>IFERROR(VLOOKUP("Pb-214",$A$4:$J$32,3)*VLOOKUP("Pb-214",Doses!$A$1:$O$40,5)*$B70,0)</f>
        <v>2603139.6681027724</v>
      </c>
      <c r="F70" s="122">
        <f>IFERROR(VLOOKUP("Pb-214",$A$4:$J$32,4)*VLOOKUP("Pb-214",Doses!$A$1:$O$40,12)*$B70,0)</f>
        <v>2.6872712650378374</v>
      </c>
      <c r="G70" s="112">
        <f t="shared" ref="G70:G75" si="65">SUM(E70:F70)</f>
        <v>2603142.3553740373</v>
      </c>
      <c r="H70" s="110">
        <f t="shared" si="59"/>
        <v>96316.167719802674</v>
      </c>
      <c r="I70" s="111">
        <f t="shared" si="60"/>
        <v>9.9429036806400084E-2</v>
      </c>
      <c r="J70" s="112">
        <f t="shared" si="61"/>
        <v>96316.267148839484</v>
      </c>
    </row>
    <row r="71" spans="1:10" ht="15">
      <c r="A71" s="108" t="s">
        <v>157</v>
      </c>
      <c r="B71" s="109">
        <v>0.99999979999999999</v>
      </c>
      <c r="C71" s="123"/>
      <c r="D71" s="124"/>
      <c r="E71" s="110">
        <f>IFERROR(VLOOKUP("Bi-214",$A$4:$J$32,3)*VLOOKUP("Bi-214",Doses!$A$1:$O$40,5)*$B71,0)</f>
        <v>2603659.8794507287</v>
      </c>
      <c r="F71" s="122">
        <f>IFERROR(VLOOKUP("Bi-214",$A$4:$J$32,4)*VLOOKUP("Bi-214",Doses!$A$1:$O$40,12)*$B71,0)</f>
        <v>2.0949094019087635</v>
      </c>
      <c r="G71" s="112">
        <f t="shared" si="65"/>
        <v>2603661.9743601307</v>
      </c>
      <c r="H71" s="110">
        <f t="shared" si="59"/>
        <v>96335.415539677051</v>
      </c>
      <c r="I71" s="111">
        <f t="shared" si="60"/>
        <v>7.7511647870624326E-2</v>
      </c>
      <c r="J71" s="112">
        <f t="shared" si="61"/>
        <v>96335.493051324927</v>
      </c>
    </row>
    <row r="72" spans="1:10" ht="15">
      <c r="A72" s="108" t="s">
        <v>159</v>
      </c>
      <c r="B72" s="109">
        <v>0.99979000004200003</v>
      </c>
      <c r="C72" s="123"/>
      <c r="D72" s="124"/>
      <c r="E72" s="110">
        <f>IFERROR(VLOOKUP("Po-214",$A$4:$J$32,3)*VLOOKUP("Po-214",Doses!$A$1:$O$40,5)*$B72,0)</f>
        <v>2603113.6316081244</v>
      </c>
      <c r="F72" s="122">
        <f>IFERROR(VLOOKUP("Po-214",$A$4:$J$32,4)*VLOOKUP("Po-214",Doses!$A$1:$O$40,12)*$B72,0)</f>
        <v>2.1339881897260695</v>
      </c>
      <c r="G72" s="112">
        <f t="shared" si="65"/>
        <v>2603115.7655963139</v>
      </c>
      <c r="H72" s="110">
        <f t="shared" si="59"/>
        <v>96315.204369500701</v>
      </c>
      <c r="I72" s="111">
        <f t="shared" si="60"/>
        <v>7.8957563019864646E-2</v>
      </c>
      <c r="J72" s="112">
        <f t="shared" si="61"/>
        <v>96315.283327063706</v>
      </c>
    </row>
    <row r="73" spans="1:10" ht="15">
      <c r="A73" s="108" t="s">
        <v>160</v>
      </c>
      <c r="B73" s="109">
        <v>2.0999995799999999E-4</v>
      </c>
      <c r="C73" s="123"/>
      <c r="D73" s="124"/>
      <c r="E73" s="110">
        <f>IFERROR(VLOOKUP("Tl-210",$A$4:$J$32,3)*VLOOKUP("Tl-210",Doses!$A$1:$O$40,5)*$B73,0)</f>
        <v>546.768574684653</v>
      </c>
      <c r="F73" s="122">
        <f>IFERROR(VLOOKUP("Tl-210",$A$4:$J$32,4)*VLOOKUP("Tl-210",Doses!$A$1:$O$40,12)*$B73,0)</f>
        <v>4.5653214324615512E-4</v>
      </c>
      <c r="G73" s="112">
        <f t="shared" si="65"/>
        <v>546.76903121679629</v>
      </c>
      <c r="H73" s="110">
        <f t="shared" si="59"/>
        <v>20.230437263332181</v>
      </c>
      <c r="I73" s="111">
        <f t="shared" si="60"/>
        <v>1.6891689300107757E-5</v>
      </c>
      <c r="J73" s="112">
        <f t="shared" si="61"/>
        <v>20.230454155021484</v>
      </c>
    </row>
    <row r="74" spans="1:10" ht="15">
      <c r="A74" s="108" t="s">
        <v>161</v>
      </c>
      <c r="B74" s="109">
        <v>1</v>
      </c>
      <c r="C74" s="123"/>
      <c r="D74" s="124"/>
      <c r="E74" s="110">
        <f>IFERROR(VLOOKUP("Pb-210",$A$4:$J$32,3)*VLOOKUP("Pb-210",Doses!$A$1:$O$40,5)*$B74,0)</f>
        <v>2603660.4001828087</v>
      </c>
      <c r="F74" s="122">
        <f>IFERROR(VLOOKUP("Pb-210",$A$4:$J$32,4)*VLOOKUP("Pb-210",Doses!$A$1:$O$40,12)*$B74,0)</f>
        <v>6.8282202180919471</v>
      </c>
      <c r="G74" s="112">
        <f t="shared" si="65"/>
        <v>2603667.2284030267</v>
      </c>
      <c r="H74" s="110">
        <f t="shared" si="59"/>
        <v>96335.434806764024</v>
      </c>
      <c r="I74" s="111">
        <f t="shared" si="60"/>
        <v>0.25264414806940227</v>
      </c>
      <c r="J74" s="112">
        <f t="shared" si="61"/>
        <v>96335.687450912083</v>
      </c>
    </row>
    <row r="75" spans="1:10" ht="15">
      <c r="A75" s="108" t="s">
        <v>162</v>
      </c>
      <c r="B75" s="109">
        <v>1</v>
      </c>
      <c r="C75" s="123"/>
      <c r="D75" s="124"/>
      <c r="E75" s="110">
        <f>IFERROR(VLOOKUP("Bi-210",$A$4:$J$32,3)*VLOOKUP("Bi-210",Doses!$A$1:$O$40,5)*$B75,0)</f>
        <v>2603660.4001828087</v>
      </c>
      <c r="F75" s="122">
        <f>IFERROR(VLOOKUP("Bi-210",$A$4:$J$32,4)*VLOOKUP("Bi-210",Doses!$A$1:$O$40,12)*$B75,0)</f>
        <v>2.5494657254236222</v>
      </c>
      <c r="G75" s="112">
        <f t="shared" si="65"/>
        <v>2603662.9496485339</v>
      </c>
      <c r="H75" s="110">
        <f t="shared" si="59"/>
        <v>96335.434806764024</v>
      </c>
      <c r="I75" s="111">
        <f t="shared" si="60"/>
        <v>9.4330231840674114E-2</v>
      </c>
      <c r="J75" s="112">
        <f t="shared" si="61"/>
        <v>96335.529136995858</v>
      </c>
    </row>
    <row r="76" spans="1:10" ht="15">
      <c r="A76" s="108" t="s">
        <v>164</v>
      </c>
      <c r="B76" s="109">
        <v>1</v>
      </c>
      <c r="C76" s="123"/>
      <c r="D76" s="124"/>
      <c r="E76" s="110">
        <f>IFERROR(VLOOKUP("Po-210",$A$4:$J$32,3)*VLOOKUP("Po-210",Doses!$A$1:$O$40,5)*$B76,0)</f>
        <v>2603660.4001828087</v>
      </c>
      <c r="F76" s="122">
        <f>IFERROR(VLOOKUP("Po-210",$A$4:$J$32,4)*VLOOKUP("Po-210",Doses!$A$1:$O$40,12)*$B76,0)</f>
        <v>2.1344364212848927</v>
      </c>
      <c r="G76" s="112">
        <f>SUM(E76:F76)</f>
        <v>2603662.5346192298</v>
      </c>
      <c r="H76" s="110">
        <f t="shared" si="59"/>
        <v>96335.434806764024</v>
      </c>
      <c r="I76" s="111">
        <f t="shared" si="60"/>
        <v>7.8974147587541108E-2</v>
      </c>
      <c r="J76" s="112">
        <f t="shared" si="61"/>
        <v>96335.513780911599</v>
      </c>
    </row>
    <row r="77" spans="1:10" ht="15">
      <c r="A77" s="108" t="s">
        <v>163</v>
      </c>
      <c r="B77" s="109">
        <v>1.9000000000000001E-8</v>
      </c>
      <c r="C77" s="123"/>
      <c r="D77" s="124"/>
      <c r="E77" s="110">
        <f>IFERROR(VLOOKUP("Hg-206",$A$4:$J$32,3)*VLOOKUP("Hg-206",Doses!$A$1:$O$40,5)*$B77,0)</f>
        <v>4.9469547603473371E-2</v>
      </c>
      <c r="F77" s="122">
        <f>IFERROR(VLOOKUP("Hg-206",$A$4:$J$32,4)*VLOOKUP("Hg-206",Doses!$A$1:$O$40,12)*$B77,0)</f>
        <v>4.8064346079304251E-8</v>
      </c>
      <c r="G77" s="112">
        <f t="shared" ref="G77:G78" si="66">SUM(E77:F77)</f>
        <v>4.9469595667819451E-2</v>
      </c>
      <c r="H77" s="110">
        <f t="shared" si="59"/>
        <v>1.8303732613285165E-3</v>
      </c>
      <c r="I77" s="111">
        <f t="shared" si="60"/>
        <v>1.7783808049342592E-9</v>
      </c>
      <c r="J77" s="112">
        <f t="shared" si="61"/>
        <v>1.8303750397093215E-3</v>
      </c>
    </row>
    <row r="78" spans="1:10" ht="15.75" thickBot="1">
      <c r="A78" s="108" t="s">
        <v>165</v>
      </c>
      <c r="B78" s="109">
        <v>1.339E-6</v>
      </c>
      <c r="C78" s="123"/>
      <c r="D78" s="124"/>
      <c r="E78" s="117">
        <f>IFERROR(VLOOKUP("Tl-206",$A$4:$J$32,3)*VLOOKUP("Tl-206",Doses!$A$1:$O$40,5)*$B78,0)</f>
        <v>3.4863012758447809</v>
      </c>
      <c r="F78" s="118">
        <f>IFERROR(VLOOKUP("Tl-206",$A$4:$J$32,4)*VLOOKUP("Tl-206",Doses!$A$1:$O$40,12)*$B78,0)</f>
        <v>5.2661487338147567E-6</v>
      </c>
      <c r="G78" s="112">
        <f t="shared" si="66"/>
        <v>3.4863065419935149</v>
      </c>
      <c r="H78" s="110">
        <f t="shared" si="59"/>
        <v>0.12899314720625701</v>
      </c>
      <c r="I78" s="111">
        <f t="shared" si="60"/>
        <v>1.948475031511462E-7</v>
      </c>
      <c r="J78" s="112">
        <f t="shared" si="61"/>
        <v>0.12899334205376017</v>
      </c>
    </row>
  </sheetData>
  <sheetProtection algorithmName="SHA-512" hashValue="4ks+jf482JX+1mD0BdFKDRGzLGdKLGLAVFLj58/RReNIdha8k7ia27Pvdzo9lCTX/uOgWOiG/MTUslFY4LVeJg==" saltValue="ZXtR5jGsH3u9DGaRbtD1Ew==" spinCount="100000" sheet="1" formatCells="0" formatColumns="0" formatRows="0" insertColumns="0" insertRows="0" autoFilter="0"/>
  <autoFilter ref="A2:J78" xr:uid="{00000000-0009-0000-0000-000011000000}"/>
  <mergeCells count="3">
    <mergeCell ref="E1:G1"/>
    <mergeCell ref="H1:J1"/>
    <mergeCell ref="C1:D1"/>
  </mergeCells>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tint="0.79998168889431442"/>
  </sheetPr>
  <dimension ref="A1:J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12.7109375" defaultRowHeight="12.75"/>
  <cols>
    <col min="1" max="1" width="12.5703125" style="22" bestFit="1" customWidth="1"/>
    <col min="2" max="2" width="12" style="22" bestFit="1" customWidth="1"/>
    <col min="3" max="4" width="12" style="22" customWidth="1"/>
    <col min="5" max="5" width="12.28515625" style="22" bestFit="1" customWidth="1"/>
    <col min="6" max="6" width="12.85546875" style="22" bestFit="1" customWidth="1"/>
    <col min="7" max="7" width="12" style="22" bestFit="1" customWidth="1"/>
    <col min="8" max="8" width="12.28515625" style="22" bestFit="1" customWidth="1"/>
    <col min="9" max="9" width="12.85546875" style="22" bestFit="1" customWidth="1"/>
    <col min="10" max="10" width="12" style="22" bestFit="1" customWidth="1"/>
  </cols>
  <sheetData>
    <row r="1" spans="1:10" ht="13.5" thickBot="1">
      <c r="C1" s="147" t="s">
        <v>227</v>
      </c>
      <c r="D1" s="148"/>
      <c r="E1" s="143" t="s">
        <v>51</v>
      </c>
      <c r="F1" s="143"/>
      <c r="G1" s="144"/>
      <c r="H1" s="143" t="s">
        <v>100</v>
      </c>
      <c r="I1" s="143"/>
      <c r="J1" s="144"/>
    </row>
    <row r="2" spans="1:10">
      <c r="A2" s="11" t="s">
        <v>0</v>
      </c>
      <c r="B2" s="11" t="s">
        <v>43</v>
      </c>
      <c r="C2" s="91" t="s">
        <v>220</v>
      </c>
      <c r="D2" s="92" t="s">
        <v>221</v>
      </c>
      <c r="E2" s="35" t="s">
        <v>167</v>
      </c>
      <c r="F2" s="36" t="s">
        <v>168</v>
      </c>
      <c r="G2" s="37" t="s">
        <v>169</v>
      </c>
      <c r="H2" s="36" t="s">
        <v>167</v>
      </c>
      <c r="I2" s="36" t="s">
        <v>168</v>
      </c>
      <c r="J2" s="38" t="s">
        <v>169</v>
      </c>
    </row>
    <row r="3" spans="1:10" ht="13.5" thickBot="1">
      <c r="B3" s="26" t="s">
        <v>44</v>
      </c>
      <c r="C3" s="93" t="s">
        <v>218</v>
      </c>
      <c r="D3" s="94" t="s">
        <v>218</v>
      </c>
      <c r="E3" s="27" t="s">
        <v>105</v>
      </c>
      <c r="F3" s="28" t="s">
        <v>105</v>
      </c>
      <c r="G3" s="29" t="s">
        <v>105</v>
      </c>
      <c r="H3" s="28" t="s">
        <v>106</v>
      </c>
      <c r="I3" s="28" t="s">
        <v>106</v>
      </c>
      <c r="J3" s="39" t="s">
        <v>106</v>
      </c>
    </row>
    <row r="4" spans="1:10">
      <c r="A4" s="82" t="s">
        <v>23</v>
      </c>
      <c r="B4" s="12" t="s">
        <v>50</v>
      </c>
      <c r="C4" s="127">
        <f t="shared" ref="C4:C5" si="0">s_C*s_IFAres_adj*s_Fin*s_Fi</f>
        <v>2005.208333333333</v>
      </c>
      <c r="D4" s="127">
        <f t="shared" ref="D4:D5" si="1">s_C*s_EFres*(1/365)*s_ETres*(1/24)*s_GSFa*s_Fin*s_Fi</f>
        <v>0.3139269406392694</v>
      </c>
      <c r="E4" s="2">
        <f>C4*Doses!H2</f>
        <v>10026.041666666664</v>
      </c>
      <c r="F4" s="3">
        <f>D4*Doses!J2</f>
        <v>1.5696347031963471</v>
      </c>
      <c r="G4" s="103">
        <f>SUM((C4*Doses!H2),(D4*Doses!J2))</f>
        <v>10027.611301369861</v>
      </c>
      <c r="H4" s="3">
        <f t="shared" ref="H4:H5" si="2">IFERROR(E4/s_1_bq,".")</f>
        <v>370.96354166666697</v>
      </c>
      <c r="I4" s="3">
        <f t="shared" ref="I4:I5" si="3">IFERROR(F4/s_1_bq,".")</f>
        <v>5.8076484018264901E-2</v>
      </c>
      <c r="J4" s="4">
        <f t="shared" ref="J4:J5" si="4">IFERROR(G4/s_1_bq,".")</f>
        <v>371.02161815068524</v>
      </c>
    </row>
    <row r="5" spans="1:10">
      <c r="A5" s="83" t="s">
        <v>14</v>
      </c>
      <c r="B5" s="12" t="s">
        <v>44</v>
      </c>
      <c r="C5" s="127">
        <f t="shared" si="0"/>
        <v>2005.208333333333</v>
      </c>
      <c r="D5" s="127">
        <f t="shared" si="1"/>
        <v>0.3139269406392694</v>
      </c>
      <c r="E5" s="2">
        <f>C5*Doses!H3</f>
        <v>10026.041666666664</v>
      </c>
      <c r="F5" s="3">
        <f>D5*Doses!J3</f>
        <v>1.5696347031963471</v>
      </c>
      <c r="G5" s="103">
        <f>SUM((C5*Doses!H3),(D5*Doses!J3))</f>
        <v>10027.611301369861</v>
      </c>
      <c r="H5" s="3">
        <f t="shared" si="2"/>
        <v>370.96354166666697</v>
      </c>
      <c r="I5" s="3">
        <f t="shared" si="3"/>
        <v>5.8076484018264901E-2</v>
      </c>
      <c r="J5" s="4">
        <f t="shared" si="4"/>
        <v>371.02161815068524</v>
      </c>
    </row>
    <row r="6" spans="1:10">
      <c r="A6" s="82" t="s">
        <v>15</v>
      </c>
      <c r="B6" s="12" t="s">
        <v>50</v>
      </c>
      <c r="C6" s="127">
        <f t="shared" ref="C6:C8" si="5">s_C*s_IFAres_adj*s_Fin*s_Fi</f>
        <v>2005.208333333333</v>
      </c>
      <c r="D6" s="127">
        <f t="shared" ref="D6:D8" si="6">s_C*s_EFres*(1/365)*s_ETres*(1/24)*s_GSFa*s_Fin*s_Fi</f>
        <v>0.3139269406392694</v>
      </c>
      <c r="E6" s="2">
        <f>C6*Doses!H4</f>
        <v>10026.041666666664</v>
      </c>
      <c r="F6" s="3">
        <f>D6*Doses!J4</f>
        <v>1.5696347031963471</v>
      </c>
      <c r="G6" s="103">
        <f>SUM((C6*Doses!H4),(D6*Doses!J4))</f>
        <v>10027.611301369861</v>
      </c>
      <c r="H6" s="3">
        <f t="shared" ref="H6:H8" si="7">IFERROR(E6/s_1_bq,".")</f>
        <v>370.96354166666697</v>
      </c>
      <c r="I6" s="3">
        <f t="shared" ref="I6:I8" si="8">IFERROR(F6/s_1_bq,".")</f>
        <v>5.8076484018264901E-2</v>
      </c>
      <c r="J6" s="4">
        <f t="shared" ref="J6:J8" si="9">IFERROR(G6/s_1_bq,".")</f>
        <v>371.02161815068524</v>
      </c>
    </row>
    <row r="7" spans="1:10">
      <c r="A7" s="82" t="s">
        <v>16</v>
      </c>
      <c r="B7" s="84" t="s">
        <v>50</v>
      </c>
      <c r="C7" s="127">
        <f t="shared" si="5"/>
        <v>2005.208333333333</v>
      </c>
      <c r="D7" s="127">
        <f t="shared" si="6"/>
        <v>0.3139269406392694</v>
      </c>
      <c r="E7" s="2">
        <f>C7*Doses!H5</f>
        <v>10026.041666666664</v>
      </c>
      <c r="F7" s="3">
        <f>D7*Doses!J5</f>
        <v>1.5696347031963471</v>
      </c>
      <c r="G7" s="103">
        <f>SUM((C7*Doses!H5),(D7*Doses!J5))</f>
        <v>10027.611301369861</v>
      </c>
      <c r="H7" s="3">
        <f t="shared" si="7"/>
        <v>370.96354166666697</v>
      </c>
      <c r="I7" s="3">
        <f t="shared" si="8"/>
        <v>5.8076484018264901E-2</v>
      </c>
      <c r="J7" s="4">
        <f t="shared" si="9"/>
        <v>371.02161815068524</v>
      </c>
    </row>
    <row r="8" spans="1:10">
      <c r="A8" s="82" t="s">
        <v>18</v>
      </c>
      <c r="B8" s="12" t="s">
        <v>50</v>
      </c>
      <c r="C8" s="127">
        <f t="shared" si="5"/>
        <v>2005.208333333333</v>
      </c>
      <c r="D8" s="127">
        <f t="shared" si="6"/>
        <v>0.3139269406392694</v>
      </c>
      <c r="E8" s="2">
        <f>C8*Doses!H6</f>
        <v>10026.041666666664</v>
      </c>
      <c r="F8" s="3">
        <f>D8*Doses!J6</f>
        <v>1.5696347031963471</v>
      </c>
      <c r="G8" s="103">
        <f>SUM((C8*Doses!H6),(D8*Doses!J6))</f>
        <v>10027.611301369861</v>
      </c>
      <c r="H8" s="3">
        <f t="shared" si="7"/>
        <v>370.96354166666697</v>
      </c>
      <c r="I8" s="3">
        <f t="shared" si="8"/>
        <v>5.8076484018264901E-2</v>
      </c>
      <c r="J8" s="4">
        <f t="shared" si="9"/>
        <v>371.02161815068524</v>
      </c>
    </row>
    <row r="9" spans="1:10">
      <c r="A9" s="82" t="s">
        <v>19</v>
      </c>
      <c r="B9" s="85" t="s">
        <v>50</v>
      </c>
      <c r="C9" s="127">
        <f t="shared" ref="C9:C11" si="10">s_C*s_IFAres_adj*s_Fin*s_Fi</f>
        <v>2005.208333333333</v>
      </c>
      <c r="D9" s="127">
        <f t="shared" ref="D9:D11" si="11">s_C*s_EFres*(1/365)*s_ETres*(1/24)*s_GSFa*s_Fin*s_Fi</f>
        <v>0.3139269406392694</v>
      </c>
      <c r="E9" s="2">
        <f>C9*Doses!H7</f>
        <v>10026.041666666664</v>
      </c>
      <c r="F9" s="3">
        <f>D9*Doses!J7</f>
        <v>1.5696347031963471</v>
      </c>
      <c r="G9" s="103">
        <f>SUM((C9*Doses!H7),(D9*Doses!J7))</f>
        <v>10027.611301369861</v>
      </c>
      <c r="H9" s="3">
        <f t="shared" ref="H9:H11" si="12">IFERROR(E9/s_1_bq,".")</f>
        <v>370.96354166666697</v>
      </c>
      <c r="I9" s="3">
        <f t="shared" ref="I9:I11" si="13">IFERROR(F9/s_1_bq,".")</f>
        <v>5.8076484018264901E-2</v>
      </c>
      <c r="J9" s="4">
        <f t="shared" ref="J9:J11" si="14">IFERROR(G9/s_1_bq,".")</f>
        <v>371.02161815068524</v>
      </c>
    </row>
    <row r="10" spans="1:10">
      <c r="A10" s="82" t="s">
        <v>20</v>
      </c>
      <c r="B10" s="12" t="s">
        <v>50</v>
      </c>
      <c r="C10" s="127">
        <f t="shared" si="10"/>
        <v>2005.208333333333</v>
      </c>
      <c r="D10" s="127">
        <f t="shared" si="11"/>
        <v>0.3139269406392694</v>
      </c>
      <c r="E10" s="2">
        <f>C10*Doses!H8</f>
        <v>10026.041666666664</v>
      </c>
      <c r="F10" s="3">
        <f>D10*Doses!J8</f>
        <v>1.5696347031963471</v>
      </c>
      <c r="G10" s="103">
        <f>SUM((C10*Doses!H8),(D10*Doses!J8))</f>
        <v>10027.611301369861</v>
      </c>
      <c r="H10" s="3">
        <f t="shared" si="12"/>
        <v>370.96354166666697</v>
      </c>
      <c r="I10" s="3">
        <f t="shared" si="13"/>
        <v>5.8076484018264901E-2</v>
      </c>
      <c r="J10" s="4">
        <f t="shared" si="14"/>
        <v>371.02161815068524</v>
      </c>
    </row>
    <row r="11" spans="1:10">
      <c r="A11" s="82" t="s">
        <v>21</v>
      </c>
      <c r="B11" s="85" t="s">
        <v>50</v>
      </c>
      <c r="C11" s="127">
        <f t="shared" si="10"/>
        <v>2005.208333333333</v>
      </c>
      <c r="D11" s="127">
        <f t="shared" si="11"/>
        <v>0.3139269406392694</v>
      </c>
      <c r="E11" s="2">
        <f>C11*Doses!H9</f>
        <v>10026.041666666664</v>
      </c>
      <c r="F11" s="3">
        <f>D11*Doses!J9</f>
        <v>1.5696347031963471</v>
      </c>
      <c r="G11" s="103">
        <f>SUM((C11*Doses!H9),(D11*Doses!J9))</f>
        <v>10027.611301369861</v>
      </c>
      <c r="H11" s="3">
        <f t="shared" si="12"/>
        <v>370.96354166666697</v>
      </c>
      <c r="I11" s="3">
        <f t="shared" si="13"/>
        <v>5.8076484018264901E-2</v>
      </c>
      <c r="J11" s="4">
        <f t="shared" si="14"/>
        <v>371.02161815068524</v>
      </c>
    </row>
    <row r="12" spans="1:10">
      <c r="A12" s="83" t="s">
        <v>17</v>
      </c>
      <c r="B12" s="12" t="s">
        <v>44</v>
      </c>
      <c r="C12" s="127">
        <f t="shared" ref="C12" si="15">s_C*s_IFAres_adj*s_Fin*s_Fi</f>
        <v>2005.208333333333</v>
      </c>
      <c r="D12" s="127">
        <f t="shared" ref="D12" si="16">s_C*s_EFres*(1/365)*s_ETres*(1/24)*s_GSFa*s_Fin*s_Fi</f>
        <v>0.3139269406392694</v>
      </c>
      <c r="E12" s="2">
        <f>C12*Doses!H10</f>
        <v>10026.041666666664</v>
      </c>
      <c r="F12" s="3">
        <f>D12*Doses!J10</f>
        <v>1.5696347031963471</v>
      </c>
      <c r="G12" s="103">
        <f>SUM((C12*Doses!H10),(D12*Doses!J10))</f>
        <v>10027.611301369861</v>
      </c>
      <c r="H12" s="3">
        <f t="shared" ref="H12" si="17">IFERROR(E12/s_1_bq,".")</f>
        <v>370.96354166666697</v>
      </c>
      <c r="I12" s="3">
        <f t="shared" ref="I12" si="18">IFERROR(F12/s_1_bq,".")</f>
        <v>5.8076484018264901E-2</v>
      </c>
      <c r="J12" s="4">
        <f t="shared" ref="J12" si="19">IFERROR(G12/s_1_bq,".")</f>
        <v>371.02161815068524</v>
      </c>
    </row>
    <row r="13" spans="1:10">
      <c r="A13" s="82" t="s">
        <v>24</v>
      </c>
      <c r="B13" s="12" t="s">
        <v>50</v>
      </c>
      <c r="C13" s="127">
        <f t="shared" ref="C13" si="20">s_C*s_IFAres_adj*s_Fin*s_Fi</f>
        <v>2005.208333333333</v>
      </c>
      <c r="D13" s="127">
        <f t="shared" ref="D13" si="21">s_C*s_EFres*(1/365)*s_ETres*(1/24)*s_GSFa*s_Fin*s_Fi</f>
        <v>0.3139269406392694</v>
      </c>
      <c r="E13" s="2">
        <f>C13*Doses!H11</f>
        <v>10026.041666666664</v>
      </c>
      <c r="F13" s="3">
        <f>D13*Doses!J11</f>
        <v>1.5696347031963471</v>
      </c>
      <c r="G13" s="103">
        <f>SUM((C13*Doses!H11),(D13*Doses!J11))</f>
        <v>10027.611301369861</v>
      </c>
      <c r="H13" s="3">
        <f t="shared" ref="H13" si="22">IFERROR(E13/s_1_bq,".")</f>
        <v>370.96354166666697</v>
      </c>
      <c r="I13" s="3">
        <f t="shared" ref="I13" si="23">IFERROR(F13/s_1_bq,".")</f>
        <v>5.8076484018264901E-2</v>
      </c>
      <c r="J13" s="4">
        <f t="shared" ref="J13" si="24">IFERROR(G13/s_1_bq,".")</f>
        <v>371.02161815068524</v>
      </c>
    </row>
    <row r="14" spans="1:10">
      <c r="A14" s="82" t="s">
        <v>22</v>
      </c>
      <c r="B14" s="84" t="s">
        <v>50</v>
      </c>
      <c r="C14" s="127">
        <f t="shared" ref="C14" si="25">s_C*s_IFAres_adj*s_Fin*s_Fi</f>
        <v>2005.208333333333</v>
      </c>
      <c r="D14" s="127">
        <f t="shared" ref="D14" si="26">s_C*s_EFres*(1/365)*s_ETres*(1/24)*s_GSFa*s_Fin*s_Fi</f>
        <v>0.3139269406392694</v>
      </c>
      <c r="E14" s="2">
        <f>C14*Doses!H12</f>
        <v>10026.041666666664</v>
      </c>
      <c r="F14" s="3">
        <f>D14*Doses!J12</f>
        <v>1.5696347031963471</v>
      </c>
      <c r="G14" s="103">
        <f>SUM((C14*Doses!H12),(D14*Doses!J12))</f>
        <v>10027.611301369861</v>
      </c>
      <c r="H14" s="3">
        <f t="shared" ref="H14" si="27">IFERROR(E14/s_1_bq,".")</f>
        <v>370.96354166666697</v>
      </c>
      <c r="I14" s="3">
        <f t="shared" ref="I14" si="28">IFERROR(F14/s_1_bq,".")</f>
        <v>5.8076484018264901E-2</v>
      </c>
      <c r="J14" s="4">
        <f t="shared" ref="J14" si="29">IFERROR(G14/s_1_bq,".")</f>
        <v>371.02161815068524</v>
      </c>
    </row>
    <row r="15" spans="1:10">
      <c r="A15" s="82" t="s">
        <v>28</v>
      </c>
      <c r="B15" s="12" t="s">
        <v>50</v>
      </c>
      <c r="C15" s="127">
        <f t="shared" ref="C15:C16" si="30">s_C*s_IFAres_adj*s_Fin*s_Fi</f>
        <v>2005.208333333333</v>
      </c>
      <c r="D15" s="127">
        <f t="shared" ref="D15:D16" si="31">s_C*s_EFres*(1/365)*s_ETres*(1/24)*s_GSFa*s_Fin*s_Fi</f>
        <v>0.3139269406392694</v>
      </c>
      <c r="E15" s="2">
        <f>C15*Doses!H13</f>
        <v>10026.041666666664</v>
      </c>
      <c r="F15" s="3">
        <f>D15*Doses!J13</f>
        <v>1.5696347031963471</v>
      </c>
      <c r="G15" s="103">
        <f>SUM((C15*Doses!H13),(D15*Doses!J13))</f>
        <v>10027.611301369861</v>
      </c>
      <c r="H15" s="3">
        <f t="shared" ref="H15:H16" si="32">IFERROR(E15/s_1_bq,".")</f>
        <v>370.96354166666697</v>
      </c>
      <c r="I15" s="3">
        <f t="shared" ref="I15:I16" si="33">IFERROR(F15/s_1_bq,".")</f>
        <v>5.8076484018264901E-2</v>
      </c>
      <c r="J15" s="4">
        <f t="shared" ref="J15:J16" si="34">IFERROR(G15/s_1_bq,".")</f>
        <v>371.02161815068524</v>
      </c>
    </row>
    <row r="16" spans="1:10">
      <c r="A16" s="82" t="s">
        <v>29</v>
      </c>
      <c r="B16" s="12" t="s">
        <v>50</v>
      </c>
      <c r="C16" s="127">
        <f t="shared" si="30"/>
        <v>2005.208333333333</v>
      </c>
      <c r="D16" s="127">
        <f t="shared" si="31"/>
        <v>0.3139269406392694</v>
      </c>
      <c r="E16" s="2">
        <f>C16*Doses!H14</f>
        <v>10026.041666666664</v>
      </c>
      <c r="F16" s="3">
        <f>D16*Doses!J14</f>
        <v>1.5696347031963471</v>
      </c>
      <c r="G16" s="103">
        <f>SUM((C16*Doses!H14),(D16*Doses!J14))</f>
        <v>10027.611301369861</v>
      </c>
      <c r="H16" s="3">
        <f t="shared" si="32"/>
        <v>370.96354166666697</v>
      </c>
      <c r="I16" s="3">
        <f t="shared" si="33"/>
        <v>5.8076484018264901E-2</v>
      </c>
      <c r="J16" s="4">
        <f t="shared" si="34"/>
        <v>371.02161815068524</v>
      </c>
    </row>
    <row r="17" spans="1:10">
      <c r="A17" s="82" t="s">
        <v>32</v>
      </c>
      <c r="B17" s="12" t="s">
        <v>50</v>
      </c>
      <c r="C17" s="127">
        <f t="shared" ref="C17:C23" si="35">s_C*s_IFAres_adj*s_Fin*s_Fi</f>
        <v>2005.208333333333</v>
      </c>
      <c r="D17" s="127">
        <f t="shared" ref="D17:D23" si="36">s_C*s_EFres*(1/365)*s_ETres*(1/24)*s_GSFa*s_Fin*s_Fi</f>
        <v>0.3139269406392694</v>
      </c>
      <c r="E17" s="2">
        <f>C17*Doses!H15</f>
        <v>10026.041666666664</v>
      </c>
      <c r="F17" s="3">
        <f>D17*Doses!J15</f>
        <v>1.5696347031963471</v>
      </c>
      <c r="G17" s="103">
        <f>SUM((C17*Doses!H15),(D17*Doses!J15))</f>
        <v>10027.611301369861</v>
      </c>
      <c r="H17" s="3">
        <f t="shared" ref="H17:H23" si="37">IFERROR(E17/s_1_bq,".")</f>
        <v>370.96354166666697</v>
      </c>
      <c r="I17" s="3">
        <f t="shared" ref="I17:I23" si="38">IFERROR(F17/s_1_bq,".")</f>
        <v>5.8076484018264901E-2</v>
      </c>
      <c r="J17" s="4">
        <f t="shared" ref="J17:J23" si="39">IFERROR(G17/s_1_bq,".")</f>
        <v>371.02161815068524</v>
      </c>
    </row>
    <row r="18" spans="1:10">
      <c r="A18" s="82" t="s">
        <v>33</v>
      </c>
      <c r="B18" s="85" t="s">
        <v>50</v>
      </c>
      <c r="C18" s="127">
        <f t="shared" si="35"/>
        <v>2005.208333333333</v>
      </c>
      <c r="D18" s="127">
        <f t="shared" si="36"/>
        <v>0.3139269406392694</v>
      </c>
      <c r="E18" s="2">
        <f>C18*Doses!H16</f>
        <v>10026.041666666664</v>
      </c>
      <c r="F18" s="3">
        <f>D18*Doses!J16</f>
        <v>1.5696347031963471</v>
      </c>
      <c r="G18" s="103">
        <f>SUM((C18*Doses!H16),(D18*Doses!J16))</f>
        <v>10027.611301369861</v>
      </c>
      <c r="H18" s="3">
        <f t="shared" si="37"/>
        <v>370.96354166666697</v>
      </c>
      <c r="I18" s="3">
        <f t="shared" si="38"/>
        <v>5.8076484018264901E-2</v>
      </c>
      <c r="J18" s="4">
        <f t="shared" si="39"/>
        <v>371.02161815068524</v>
      </c>
    </row>
    <row r="19" spans="1:10">
      <c r="A19" s="82" t="s">
        <v>34</v>
      </c>
      <c r="B19" s="85" t="s">
        <v>50</v>
      </c>
      <c r="C19" s="127">
        <f t="shared" si="35"/>
        <v>2005.208333333333</v>
      </c>
      <c r="D19" s="127">
        <f t="shared" si="36"/>
        <v>0.3139269406392694</v>
      </c>
      <c r="E19" s="2">
        <f>C19*Doses!H17</f>
        <v>10026.041666666664</v>
      </c>
      <c r="F19" s="3">
        <f>D19*Doses!J17</f>
        <v>1.5696347031963471</v>
      </c>
      <c r="G19" s="103">
        <f>SUM((C19*Doses!H17),(D19*Doses!J17))</f>
        <v>10027.611301369861</v>
      </c>
      <c r="H19" s="3">
        <f t="shared" si="37"/>
        <v>370.96354166666697</v>
      </c>
      <c r="I19" s="3">
        <f t="shared" si="38"/>
        <v>5.8076484018264901E-2</v>
      </c>
      <c r="J19" s="4">
        <f t="shared" si="39"/>
        <v>371.02161815068524</v>
      </c>
    </row>
    <row r="20" spans="1:10">
      <c r="A20" s="82" t="s">
        <v>36</v>
      </c>
      <c r="B20" s="85" t="s">
        <v>50</v>
      </c>
      <c r="C20" s="127">
        <f t="shared" si="35"/>
        <v>2005.208333333333</v>
      </c>
      <c r="D20" s="127">
        <f t="shared" si="36"/>
        <v>0.3139269406392694</v>
      </c>
      <c r="E20" s="2">
        <f>C20*Doses!H18</f>
        <v>10026.041666666664</v>
      </c>
      <c r="F20" s="3">
        <f>D20*Doses!J18</f>
        <v>1.5696347031963471</v>
      </c>
      <c r="G20" s="103">
        <f>SUM((C20*Doses!H18),(D20*Doses!J18))</f>
        <v>10027.611301369861</v>
      </c>
      <c r="H20" s="3">
        <f t="shared" si="37"/>
        <v>370.96354166666697</v>
      </c>
      <c r="I20" s="3">
        <f t="shared" si="38"/>
        <v>5.8076484018264901E-2</v>
      </c>
      <c r="J20" s="4">
        <f t="shared" si="39"/>
        <v>371.02161815068524</v>
      </c>
    </row>
    <row r="21" spans="1:10">
      <c r="A21" s="82" t="s">
        <v>37</v>
      </c>
      <c r="B21" s="12" t="s">
        <v>50</v>
      </c>
      <c r="C21" s="127">
        <f t="shared" si="35"/>
        <v>2005.208333333333</v>
      </c>
      <c r="D21" s="127">
        <f t="shared" si="36"/>
        <v>0.3139269406392694</v>
      </c>
      <c r="E21" s="2">
        <f>C21*Doses!H19</f>
        <v>10026.041666666664</v>
      </c>
      <c r="F21" s="3">
        <f>D21*Doses!J19</f>
        <v>1.5696347031963471</v>
      </c>
      <c r="G21" s="103">
        <f>SUM((C21*Doses!H19),(D21*Doses!J19))</f>
        <v>10027.611301369861</v>
      </c>
      <c r="H21" s="3">
        <f t="shared" si="37"/>
        <v>370.96354166666697</v>
      </c>
      <c r="I21" s="3">
        <f t="shared" si="38"/>
        <v>5.8076484018264901E-2</v>
      </c>
      <c r="J21" s="4">
        <f t="shared" si="39"/>
        <v>371.02161815068524</v>
      </c>
    </row>
    <row r="22" spans="1:10">
      <c r="A22" s="82" t="s">
        <v>38</v>
      </c>
      <c r="B22" s="85" t="s">
        <v>50</v>
      </c>
      <c r="C22" s="127">
        <f t="shared" si="35"/>
        <v>2005.208333333333</v>
      </c>
      <c r="D22" s="127">
        <f t="shared" si="36"/>
        <v>0.3139269406392694</v>
      </c>
      <c r="E22" s="2">
        <f>C22*Doses!H20</f>
        <v>10026.041666666664</v>
      </c>
      <c r="F22" s="3">
        <f>D22*Doses!J20</f>
        <v>1.5696347031963471</v>
      </c>
      <c r="G22" s="103">
        <f>SUM((C22*Doses!H20),(D22*Doses!J20))</f>
        <v>10027.611301369861</v>
      </c>
      <c r="H22" s="3">
        <f t="shared" si="37"/>
        <v>370.96354166666697</v>
      </c>
      <c r="I22" s="3">
        <f t="shared" si="38"/>
        <v>5.8076484018264901E-2</v>
      </c>
      <c r="J22" s="4">
        <f t="shared" si="39"/>
        <v>371.02161815068524</v>
      </c>
    </row>
    <row r="23" spans="1:10">
      <c r="A23" s="82" t="s">
        <v>39</v>
      </c>
      <c r="B23" s="85" t="s">
        <v>50</v>
      </c>
      <c r="C23" s="127">
        <f t="shared" si="35"/>
        <v>2005.208333333333</v>
      </c>
      <c r="D23" s="127">
        <f t="shared" si="36"/>
        <v>0.3139269406392694</v>
      </c>
      <c r="E23" s="2">
        <f>C23*Doses!H21</f>
        <v>10026.041666666664</v>
      </c>
      <c r="F23" s="3">
        <f>D23*Doses!J21</f>
        <v>1.5696347031963471</v>
      </c>
      <c r="G23" s="103">
        <f>SUM((C23*Doses!H21),(D23*Doses!J21))</f>
        <v>10027.611301369861</v>
      </c>
      <c r="H23" s="3">
        <f t="shared" si="37"/>
        <v>370.96354166666697</v>
      </c>
      <c r="I23" s="3">
        <f t="shared" si="38"/>
        <v>5.8076484018264901E-2</v>
      </c>
      <c r="J23" s="4">
        <f t="shared" si="39"/>
        <v>371.02161815068524</v>
      </c>
    </row>
    <row r="24" spans="1:10">
      <c r="A24" s="82" t="s">
        <v>26</v>
      </c>
      <c r="B24" s="12" t="s">
        <v>50</v>
      </c>
      <c r="C24" s="127">
        <f t="shared" ref="C24:C25" si="40">s_C*s_IFAres_adj*s_Fin*s_Fi</f>
        <v>2005.208333333333</v>
      </c>
      <c r="D24" s="127">
        <f t="shared" ref="D24:D25" si="41">s_C*s_EFres*(1/365)*s_ETres*(1/24)*s_GSFa*s_Fin*s_Fi</f>
        <v>0.3139269406392694</v>
      </c>
      <c r="E24" s="2">
        <f>C24*Doses!H22</f>
        <v>10026.041666666664</v>
      </c>
      <c r="F24" s="3">
        <f>D24*Doses!J22</f>
        <v>1.5696347031963471</v>
      </c>
      <c r="G24" s="103">
        <f>SUM((C24*Doses!H22),(D24*Doses!J22))</f>
        <v>10027.611301369861</v>
      </c>
      <c r="H24" s="3">
        <f t="shared" ref="H24:H25" si="42">IFERROR(E24/s_1_bq,".")</f>
        <v>370.96354166666697</v>
      </c>
      <c r="I24" s="3">
        <f t="shared" ref="I24:I25" si="43">IFERROR(F24/s_1_bq,".")</f>
        <v>5.8076484018264901E-2</v>
      </c>
      <c r="J24" s="4">
        <f t="shared" ref="J24:J25" si="44">IFERROR(G24/s_1_bq,".")</f>
        <v>371.02161815068524</v>
      </c>
    </row>
    <row r="25" spans="1:10">
      <c r="A25" s="83" t="s">
        <v>27</v>
      </c>
      <c r="B25" s="85" t="s">
        <v>44</v>
      </c>
      <c r="C25" s="127">
        <f t="shared" si="40"/>
        <v>2005.208333333333</v>
      </c>
      <c r="D25" s="127">
        <f t="shared" si="41"/>
        <v>0.3139269406392694</v>
      </c>
      <c r="E25" s="2">
        <f>C25*Doses!H23</f>
        <v>10026.041666666664</v>
      </c>
      <c r="F25" s="3">
        <f>D25*Doses!J23</f>
        <v>1.5696347031963471</v>
      </c>
      <c r="G25" s="103">
        <f>SUM((C25*Doses!H23),(D25*Doses!J23))</f>
        <v>10027.611301369861</v>
      </c>
      <c r="H25" s="3">
        <f t="shared" si="42"/>
        <v>370.96354166666697</v>
      </c>
      <c r="I25" s="3">
        <f t="shared" si="43"/>
        <v>5.8076484018264901E-2</v>
      </c>
      <c r="J25" s="4">
        <f t="shared" si="44"/>
        <v>371.02161815068524</v>
      </c>
    </row>
    <row r="26" spans="1:10">
      <c r="A26" s="82" t="s">
        <v>30</v>
      </c>
      <c r="B26" s="85" t="s">
        <v>50</v>
      </c>
      <c r="C26" s="127">
        <f t="shared" ref="C26" si="45">s_C*s_IFAres_adj*s_Fin*s_Fi</f>
        <v>2005.208333333333</v>
      </c>
      <c r="D26" s="127">
        <f t="shared" ref="D26" si="46">s_C*s_EFres*(1/365)*s_ETres*(1/24)*s_GSFa*s_Fin*s_Fi</f>
        <v>0.3139269406392694</v>
      </c>
      <c r="E26" s="2">
        <f>C26*Doses!H24</f>
        <v>10026.041666666664</v>
      </c>
      <c r="F26" s="3">
        <f>D26*Doses!J24</f>
        <v>1.5696347031963471</v>
      </c>
      <c r="G26" s="103">
        <f>SUM((C26*Doses!H24),(D26*Doses!J24))</f>
        <v>10027.611301369861</v>
      </c>
      <c r="H26" s="3">
        <f t="shared" ref="H26:H27" si="47">IFERROR(E26/s_1_bq,".")</f>
        <v>370.96354166666697</v>
      </c>
      <c r="I26" s="3">
        <f t="shared" ref="I26:I27" si="48">IFERROR(F26/s_1_bq,".")</f>
        <v>5.8076484018264901E-2</v>
      </c>
      <c r="J26" s="4">
        <f t="shared" ref="J26:J27" si="49">IFERROR(G26/s_1_bq,".")</f>
        <v>371.02161815068524</v>
      </c>
    </row>
    <row r="27" spans="1:10">
      <c r="A27" s="83" t="s">
        <v>31</v>
      </c>
      <c r="B27" s="85" t="s">
        <v>44</v>
      </c>
      <c r="C27" s="127">
        <f t="shared" ref="C27" si="50">s_C*s_IFAres_adj*s_Fin*s_Fi</f>
        <v>2005.208333333333</v>
      </c>
      <c r="D27" s="127">
        <f t="shared" ref="D27" si="51">s_C*s_EFres*(1/365)*s_ETres*(1/24)*s_GSFa*s_Fin*s_Fi</f>
        <v>0.3139269406392694</v>
      </c>
      <c r="E27" s="2">
        <f>C27*Doses!H25</f>
        <v>10026.041666666664</v>
      </c>
      <c r="F27" s="3">
        <f>D27*Doses!J25</f>
        <v>1.5696347031963471</v>
      </c>
      <c r="G27" s="103">
        <f>SUM((C27*Doses!H25),(D27*Doses!J25))</f>
        <v>10027.611301369861</v>
      </c>
      <c r="H27" s="3">
        <f t="shared" si="47"/>
        <v>370.96354166666697</v>
      </c>
      <c r="I27" s="3">
        <f t="shared" si="48"/>
        <v>5.8076484018264901E-2</v>
      </c>
      <c r="J27" s="4">
        <f t="shared" si="49"/>
        <v>371.02161815068524</v>
      </c>
    </row>
    <row r="28" spans="1:10">
      <c r="A28" s="82" t="s">
        <v>35</v>
      </c>
      <c r="B28" s="12" t="s">
        <v>50</v>
      </c>
      <c r="C28" s="127">
        <f t="shared" ref="C28:C31" si="52">s_C*s_IFAres_adj*s_Fin*s_Fi</f>
        <v>2005.208333333333</v>
      </c>
      <c r="D28" s="127">
        <f t="shared" ref="D28:D31" si="53">s_C*s_EFres*(1/365)*s_ETres*(1/24)*s_GSFa*s_Fin*s_Fi</f>
        <v>0.3139269406392694</v>
      </c>
      <c r="E28" s="2">
        <f>C28*Doses!H26</f>
        <v>10026.041666666664</v>
      </c>
      <c r="F28" s="3">
        <f>D28*Doses!J26</f>
        <v>1.5696347031963471</v>
      </c>
      <c r="G28" s="103">
        <f>SUM((C28*Doses!H26),(D28*Doses!J26))</f>
        <v>10027.611301369861</v>
      </c>
      <c r="H28" s="3">
        <f t="shared" ref="H28:H31" si="54">IFERROR(E28/s_1_bq,".")</f>
        <v>370.96354166666697</v>
      </c>
      <c r="I28" s="3">
        <f t="shared" ref="I28:I31" si="55">IFERROR(F28/s_1_bq,".")</f>
        <v>5.8076484018264901E-2</v>
      </c>
      <c r="J28" s="4">
        <f t="shared" ref="J28:J31" si="56">IFERROR(G28/s_1_bq,".")</f>
        <v>371.02161815068524</v>
      </c>
    </row>
    <row r="29" spans="1:10">
      <c r="A29" s="82" t="s">
        <v>40</v>
      </c>
      <c r="B29" s="85" t="s">
        <v>50</v>
      </c>
      <c r="C29" s="127">
        <f t="shared" si="52"/>
        <v>2005.208333333333</v>
      </c>
      <c r="D29" s="127">
        <f t="shared" si="53"/>
        <v>0.3139269406392694</v>
      </c>
      <c r="E29" s="2">
        <f>C29*Doses!H27</f>
        <v>10026.041666666664</v>
      </c>
      <c r="F29" s="3">
        <f>D29*Doses!J27</f>
        <v>1.5696347031963471</v>
      </c>
      <c r="G29" s="103">
        <f>SUM((C29*Doses!H27),(D29*Doses!J27))</f>
        <v>10027.611301369861</v>
      </c>
      <c r="H29" s="3">
        <f t="shared" si="54"/>
        <v>370.96354166666697</v>
      </c>
      <c r="I29" s="3">
        <f t="shared" si="55"/>
        <v>5.8076484018264901E-2</v>
      </c>
      <c r="J29" s="4">
        <f t="shared" si="56"/>
        <v>371.02161815068524</v>
      </c>
    </row>
    <row r="30" spans="1:10">
      <c r="A30" s="82" t="s">
        <v>41</v>
      </c>
      <c r="B30" s="12" t="s">
        <v>50</v>
      </c>
      <c r="C30" s="127">
        <f t="shared" si="52"/>
        <v>2005.208333333333</v>
      </c>
      <c r="D30" s="127">
        <f t="shared" si="53"/>
        <v>0.3139269406392694</v>
      </c>
      <c r="E30" s="2">
        <f>C30*Doses!H28</f>
        <v>10026.041666666664</v>
      </c>
      <c r="F30" s="3">
        <f>D30*Doses!J28</f>
        <v>1.5696347031963471</v>
      </c>
      <c r="G30" s="103">
        <f>SUM((C30*Doses!H28),(D30*Doses!J28))</f>
        <v>10027.611301369861</v>
      </c>
      <c r="H30" s="3">
        <f t="shared" si="54"/>
        <v>370.96354166666697</v>
      </c>
      <c r="I30" s="3">
        <f t="shared" si="55"/>
        <v>5.8076484018264901E-2</v>
      </c>
      <c r="J30" s="4">
        <f t="shared" si="56"/>
        <v>371.02161815068524</v>
      </c>
    </row>
    <row r="31" spans="1:10">
      <c r="A31" s="82" t="s">
        <v>42</v>
      </c>
      <c r="B31" s="85" t="s">
        <v>50</v>
      </c>
      <c r="C31" s="127">
        <f t="shared" si="52"/>
        <v>2005.208333333333</v>
      </c>
      <c r="D31" s="127">
        <f t="shared" si="53"/>
        <v>0.3139269406392694</v>
      </c>
      <c r="E31" s="2">
        <f>C31*Doses!H29</f>
        <v>10026.041666666664</v>
      </c>
      <c r="F31" s="3">
        <f>D31*Doses!J29</f>
        <v>1.5696347031963471</v>
      </c>
      <c r="G31" s="103">
        <f>SUM((C31*Doses!H29),(D31*Doses!J29))</f>
        <v>10027.611301369861</v>
      </c>
      <c r="H31" s="3">
        <f t="shared" si="54"/>
        <v>370.96354166666697</v>
      </c>
      <c r="I31" s="3">
        <f t="shared" si="55"/>
        <v>5.8076484018264901E-2</v>
      </c>
      <c r="J31" s="4">
        <f t="shared" si="56"/>
        <v>371.02161815068524</v>
      </c>
    </row>
    <row r="32" spans="1:10" ht="13.5" thickBot="1">
      <c r="A32" s="82" t="s">
        <v>25</v>
      </c>
      <c r="B32" s="12" t="s">
        <v>50</v>
      </c>
      <c r="C32" s="127">
        <f t="shared" ref="C32" si="57">s_C*s_IFAres_adj*s_Fin*s_Fi</f>
        <v>2005.208333333333</v>
      </c>
      <c r="D32" s="127">
        <f t="shared" ref="D32" si="58">s_C*s_EFres*(1/365)*s_ETres*(1/24)*s_GSFa*s_Fin*s_Fi</f>
        <v>0.3139269406392694</v>
      </c>
      <c r="E32" s="2">
        <f>C32*Doses!H30</f>
        <v>10026.041666666664</v>
      </c>
      <c r="F32" s="3">
        <f>D32*Doses!J30</f>
        <v>1.5696347031963471</v>
      </c>
      <c r="G32" s="103">
        <f>SUM((C32*Doses!H30),(D32*Doses!J30))</f>
        <v>10027.611301369861</v>
      </c>
      <c r="H32" s="3">
        <f t="shared" ref="H32" si="59">IFERROR(E32/s_1_bq,".")</f>
        <v>370.96354166666697</v>
      </c>
      <c r="I32" s="3">
        <f t="shared" ref="I32" si="60">IFERROR(F32/s_1_bq,".")</f>
        <v>5.8076484018264901E-2</v>
      </c>
      <c r="J32" s="4">
        <f t="shared" ref="J32" si="61">IFERROR(G32/s_1_bq,".")</f>
        <v>371.02161815068524</v>
      </c>
    </row>
    <row r="33" spans="1:10" ht="15">
      <c r="A33" s="104" t="s">
        <v>14</v>
      </c>
      <c r="B33" s="104" t="s">
        <v>50</v>
      </c>
      <c r="C33" s="123"/>
      <c r="D33" s="124"/>
      <c r="E33" s="105">
        <f>SUM(E34:E46)</f>
        <v>120308.89062499994</v>
      </c>
      <c r="F33" s="106">
        <f t="shared" ref="F33:G33" si="62">SUM(F34:F46)</f>
        <v>18.835051369863013</v>
      </c>
      <c r="G33" s="107">
        <f t="shared" si="62"/>
        <v>120327.72567636984</v>
      </c>
      <c r="H33" s="105">
        <f t="shared" ref="H33:H78" si="63">E33/s_1_bq</f>
        <v>4451.4289531250024</v>
      </c>
      <c r="I33" s="106">
        <f t="shared" ref="I33:I78" si="64">F33/s_1_bq</f>
        <v>0.69689690068493215</v>
      </c>
      <c r="J33" s="107">
        <f t="shared" ref="J33:J78" si="65">G33/s_1_bq</f>
        <v>4452.1258500256881</v>
      </c>
    </row>
    <row r="34" spans="1:10" ht="15">
      <c r="A34" s="108" t="s">
        <v>137</v>
      </c>
      <c r="B34" s="109">
        <v>1</v>
      </c>
      <c r="C34" s="123"/>
      <c r="D34" s="124"/>
      <c r="E34" s="110">
        <f>IFERROR(VLOOKUP("Am-241",$A$4:$J$32,3)*VLOOKUP("Am-241",Doses!$A$1:$O$30,8)*$B34,0)</f>
        <v>10026.041666666664</v>
      </c>
      <c r="F34" s="122">
        <f>IFERROR(VLOOKUP("Am-241",$A$4:$J$32,4)*VLOOKUP("Am-241",Doses!$A$1:$O$30,10)*$B34,0)</f>
        <v>1.5696347031963471</v>
      </c>
      <c r="G34" s="112">
        <f>SUM(E34:F34)</f>
        <v>10027.611301369861</v>
      </c>
      <c r="H34" s="110">
        <f t="shared" si="63"/>
        <v>370.96354166666697</v>
      </c>
      <c r="I34" s="111">
        <f t="shared" si="64"/>
        <v>5.8076484018264901E-2</v>
      </c>
      <c r="J34" s="112">
        <f t="shared" si="65"/>
        <v>371.02161815068524</v>
      </c>
    </row>
    <row r="35" spans="1:10" ht="15">
      <c r="A35" s="108" t="s">
        <v>138</v>
      </c>
      <c r="B35" s="109">
        <v>1</v>
      </c>
      <c r="C35" s="123"/>
      <c r="D35" s="124"/>
      <c r="E35" s="110">
        <f>IFERROR(VLOOKUP("Np-237",$A$4:$J$32,3)*VLOOKUP("Np-237",Doses!$A$1:$O$31,8)*$B35,0)</f>
        <v>10026.041666666664</v>
      </c>
      <c r="F35" s="122">
        <f>IFERROR(VLOOKUP("Np-237",$A$4:$J$32,4)*VLOOKUP("Np-237",Doses!$A$1:$O$31,10)*$B35,0)</f>
        <v>1.5696347031963471</v>
      </c>
      <c r="G35" s="112">
        <f t="shared" ref="G35:G46" si="66">SUM(E35:F35)</f>
        <v>10027.611301369861</v>
      </c>
      <c r="H35" s="110">
        <f t="shared" si="63"/>
        <v>370.96354166666697</v>
      </c>
      <c r="I35" s="111">
        <f t="shared" si="64"/>
        <v>5.8076484018264901E-2</v>
      </c>
      <c r="J35" s="112">
        <f t="shared" si="65"/>
        <v>371.02161815068524</v>
      </c>
    </row>
    <row r="36" spans="1:10" ht="15">
      <c r="A36" s="108" t="s">
        <v>139</v>
      </c>
      <c r="B36" s="109">
        <v>1</v>
      </c>
      <c r="C36" s="123"/>
      <c r="D36" s="124"/>
      <c r="E36" s="110">
        <f>IFERROR(VLOOKUP("Pa-233",$A$4:$J$32,3)*VLOOKUP("Pa-233",Doses!$A$1:$O$32,8)*$B36,0)</f>
        <v>10026.041666666664</v>
      </c>
      <c r="F36" s="122">
        <f>IFERROR(VLOOKUP("Pa-233",$A$4:$J$32,4)*VLOOKUP("Pa-233",Doses!$A$1:$O$32,10)*$B36,0)</f>
        <v>1.5696347031963471</v>
      </c>
      <c r="G36" s="112">
        <f t="shared" si="66"/>
        <v>10027.611301369861</v>
      </c>
      <c r="H36" s="110">
        <f t="shared" si="63"/>
        <v>370.96354166666697</v>
      </c>
      <c r="I36" s="111">
        <f t="shared" si="64"/>
        <v>5.8076484018264901E-2</v>
      </c>
      <c r="J36" s="112">
        <f t="shared" si="65"/>
        <v>371.02161815068524</v>
      </c>
    </row>
    <row r="37" spans="1:10" ht="15">
      <c r="A37" s="108" t="s">
        <v>140</v>
      </c>
      <c r="B37" s="109">
        <v>1</v>
      </c>
      <c r="C37" s="123"/>
      <c r="D37" s="124"/>
      <c r="E37" s="110">
        <f>IFERROR(VLOOKUP("U-233",$A$4:$J$32,3)*VLOOKUP("U-233",Doses!$A$1:$O$33,8)*$B37,0)</f>
        <v>10026.041666666664</v>
      </c>
      <c r="F37" s="122">
        <f>IFERROR(VLOOKUP("U-233",$A$4:$J$32,4)*VLOOKUP("U-233",Doses!$A$1:$O$33,10)*$B37,0)</f>
        <v>1.5696347031963471</v>
      </c>
      <c r="G37" s="112">
        <f t="shared" si="66"/>
        <v>10027.611301369861</v>
      </c>
      <c r="H37" s="110">
        <f t="shared" si="63"/>
        <v>370.96354166666697</v>
      </c>
      <c r="I37" s="111">
        <f t="shared" si="64"/>
        <v>5.8076484018264901E-2</v>
      </c>
      <c r="J37" s="112">
        <f t="shared" si="65"/>
        <v>371.02161815068524</v>
      </c>
    </row>
    <row r="38" spans="1:10" ht="15">
      <c r="A38" s="108" t="s">
        <v>141</v>
      </c>
      <c r="B38" s="109">
        <v>1</v>
      </c>
      <c r="C38" s="123"/>
      <c r="D38" s="124"/>
      <c r="E38" s="110">
        <f>IFERROR(VLOOKUP("Th-229",$A$4:$J$32,3)*VLOOKUP("Th-229",Doses!$A$1:$O$34,8)*$B38,0)</f>
        <v>10026.041666666664</v>
      </c>
      <c r="F38" s="122">
        <f>IFERROR(VLOOKUP("Th-229",$A$4:$J$32,4)*VLOOKUP("Th-229",Doses!$A$1:$O$34,10)*$B38,0)</f>
        <v>1.5696347031963471</v>
      </c>
      <c r="G38" s="112">
        <f t="shared" si="66"/>
        <v>10027.611301369861</v>
      </c>
      <c r="H38" s="110">
        <f t="shared" si="63"/>
        <v>370.96354166666697</v>
      </c>
      <c r="I38" s="111">
        <f t="shared" si="64"/>
        <v>5.8076484018264901E-2</v>
      </c>
      <c r="J38" s="112">
        <f t="shared" si="65"/>
        <v>371.02161815068524</v>
      </c>
    </row>
    <row r="39" spans="1:10" ht="15">
      <c r="A39" s="108" t="s">
        <v>142</v>
      </c>
      <c r="B39" s="109">
        <v>1</v>
      </c>
      <c r="C39" s="123"/>
      <c r="D39" s="124"/>
      <c r="E39" s="110">
        <f>IFERROR(VLOOKUP("Ra-225",$A$4:$J$32,3)*VLOOKUP("Ra-225",Doses!$A$1:$O$35,8)*$B39,0)</f>
        <v>10026.041666666664</v>
      </c>
      <c r="F39" s="122">
        <f>IFERROR(VLOOKUP("Ra-225",$A$4:$J$32,4)*VLOOKUP("Ra-225",Doses!$A$1:$O$35,10)*$B39,0)</f>
        <v>1.5696347031963471</v>
      </c>
      <c r="G39" s="112">
        <f t="shared" si="66"/>
        <v>10027.611301369861</v>
      </c>
      <c r="H39" s="110">
        <f t="shared" si="63"/>
        <v>370.96354166666697</v>
      </c>
      <c r="I39" s="111">
        <f t="shared" si="64"/>
        <v>5.8076484018264901E-2</v>
      </c>
      <c r="J39" s="112">
        <f t="shared" si="65"/>
        <v>371.02161815068524</v>
      </c>
    </row>
    <row r="40" spans="1:10" ht="15">
      <c r="A40" s="108" t="s">
        <v>143</v>
      </c>
      <c r="B40" s="109">
        <v>1</v>
      </c>
      <c r="C40" s="123"/>
      <c r="D40" s="124"/>
      <c r="E40" s="110">
        <f>IFERROR(VLOOKUP("Ac-225",$A$4:$J$32,3)*VLOOKUP("Ac-225",Doses!$A$1:$O$36,8)*$B40,0)</f>
        <v>10026.041666666664</v>
      </c>
      <c r="F40" s="122">
        <f>IFERROR(VLOOKUP("Ac-225",$A$4:$J$32,4)*VLOOKUP("Ac-225",Doses!$A$1:$O$36,10)*$B40,0)</f>
        <v>1.5696347031963471</v>
      </c>
      <c r="G40" s="112">
        <f t="shared" si="66"/>
        <v>10027.611301369861</v>
      </c>
      <c r="H40" s="110">
        <f t="shared" si="63"/>
        <v>370.96354166666697</v>
      </c>
      <c r="I40" s="111">
        <f t="shared" si="64"/>
        <v>5.8076484018264901E-2</v>
      </c>
      <c r="J40" s="112">
        <f t="shared" si="65"/>
        <v>371.02161815068524</v>
      </c>
    </row>
    <row r="41" spans="1:10" ht="15">
      <c r="A41" s="108" t="s">
        <v>144</v>
      </c>
      <c r="B41" s="109">
        <v>1</v>
      </c>
      <c r="C41" s="123"/>
      <c r="D41" s="124"/>
      <c r="E41" s="110">
        <f>IFERROR(VLOOKUP("Fr-221",$A$4:$J$32,3)*VLOOKUP("Fr-221",Doses!$A$1:$O$37,8)*$B41,0)</f>
        <v>10026.041666666664</v>
      </c>
      <c r="F41" s="122">
        <f>IFERROR(VLOOKUP("Fr-221",$A$4:$J$32,4)*VLOOKUP("Fr-221",Doses!$A$1:$O$37,10)*$B41,0)</f>
        <v>1.5696347031963471</v>
      </c>
      <c r="G41" s="112">
        <f t="shared" si="66"/>
        <v>10027.611301369861</v>
      </c>
      <c r="H41" s="110">
        <f t="shared" si="63"/>
        <v>370.96354166666697</v>
      </c>
      <c r="I41" s="111">
        <f t="shared" si="64"/>
        <v>5.8076484018264901E-2</v>
      </c>
      <c r="J41" s="112">
        <f t="shared" si="65"/>
        <v>371.02161815068524</v>
      </c>
    </row>
    <row r="42" spans="1:10" ht="15">
      <c r="A42" s="108" t="s">
        <v>145</v>
      </c>
      <c r="B42" s="109">
        <v>1</v>
      </c>
      <c r="C42" s="123"/>
      <c r="D42" s="124"/>
      <c r="E42" s="110">
        <f>IFERROR(VLOOKUP("At-217",$A$4:$J$32,3)*VLOOKUP("At-217",Doses!$A$1:$O$38,8)*$B42,0)</f>
        <v>10026.041666666664</v>
      </c>
      <c r="F42" s="122">
        <f>IFERROR(VLOOKUP("At-217",$A$4:$J$32,4)*VLOOKUP("At-217",Doses!$A$1:$O$38,10)*$B42,0)</f>
        <v>1.5696347031963471</v>
      </c>
      <c r="G42" s="112">
        <f t="shared" si="66"/>
        <v>10027.611301369861</v>
      </c>
      <c r="H42" s="110">
        <f t="shared" si="63"/>
        <v>370.96354166666697</v>
      </c>
      <c r="I42" s="111">
        <f t="shared" si="64"/>
        <v>5.8076484018264901E-2</v>
      </c>
      <c r="J42" s="112">
        <f t="shared" si="65"/>
        <v>371.02161815068524</v>
      </c>
    </row>
    <row r="43" spans="1:10" ht="15">
      <c r="A43" s="108" t="s">
        <v>146</v>
      </c>
      <c r="B43" s="113">
        <v>0.99987999999999999</v>
      </c>
      <c r="C43" s="123"/>
      <c r="D43" s="124"/>
      <c r="E43" s="110">
        <f>IFERROR(VLOOKUP("Bi-213",$A$4:$J$32,3)*VLOOKUP("Bi-213",Doses!$A$1:$O$39,8)*$B43,0)</f>
        <v>10024.838541666664</v>
      </c>
      <c r="F43" s="122">
        <f>IFERROR(VLOOKUP("Bi-213",$A$4:$J$32,4)*VLOOKUP("Bi-213",Doses!$A$1:$O$39,10)*$B43,0)</f>
        <v>1.5694463470319635</v>
      </c>
      <c r="G43" s="112">
        <f t="shared" si="66"/>
        <v>10026.407988013696</v>
      </c>
      <c r="H43" s="110">
        <f t="shared" si="63"/>
        <v>370.91902604166694</v>
      </c>
      <c r="I43" s="111">
        <f t="shared" si="64"/>
        <v>5.8069514840182711E-2</v>
      </c>
      <c r="J43" s="112">
        <f t="shared" si="65"/>
        <v>370.97709555650715</v>
      </c>
    </row>
    <row r="44" spans="1:10" ht="15">
      <c r="A44" s="108" t="s">
        <v>147</v>
      </c>
      <c r="B44" s="109">
        <v>0.97898250799999997</v>
      </c>
      <c r="C44" s="123"/>
      <c r="D44" s="124"/>
      <c r="E44" s="110">
        <f>IFERROR(VLOOKUP("Po-213",$A$4:$J$32,3)*VLOOKUP("Po-213",Doses!$A$1:$O$40,8)*$B44,0)</f>
        <v>9815.3194161458305</v>
      </c>
      <c r="F44" s="122">
        <f>IFERROR(VLOOKUP("Po-213",$A$4:$J$32,4)*VLOOKUP("Po-213",Doses!$A$1:$O$40,10)*$B44,0)</f>
        <v>1.5366449183789954</v>
      </c>
      <c r="G44" s="112">
        <f t="shared" si="66"/>
        <v>9816.8560610642089</v>
      </c>
      <c r="H44" s="110">
        <f t="shared" si="63"/>
        <v>363.16681839739607</v>
      </c>
      <c r="I44" s="111">
        <f t="shared" si="64"/>
        <v>5.685586198002289E-2</v>
      </c>
      <c r="J44" s="112">
        <f t="shared" si="65"/>
        <v>363.22367425937608</v>
      </c>
    </row>
    <row r="45" spans="1:10" ht="15">
      <c r="A45" s="108" t="s">
        <v>148</v>
      </c>
      <c r="B45" s="109">
        <v>2.0897492E-2</v>
      </c>
      <c r="C45" s="123"/>
      <c r="D45" s="124"/>
      <c r="E45" s="110">
        <f>IFERROR(VLOOKUP("Tl-209",$A$4:$J$32,3)*VLOOKUP("Tl-209",Doses!$A$1:$O$41,8)*$B45,0)</f>
        <v>209.51912552083328</v>
      </c>
      <c r="F45" s="122">
        <f>IFERROR(VLOOKUP("Tl-209",$A$4:$J$32,4)*VLOOKUP("Tl-209",Doses!$A$1:$O$41,10)*$B45,0)</f>
        <v>3.2801428652968041E-2</v>
      </c>
      <c r="G45" s="112">
        <f t="shared" si="66"/>
        <v>209.55192694948624</v>
      </c>
      <c r="H45" s="110">
        <f t="shared" si="63"/>
        <v>7.7522076442708396</v>
      </c>
      <c r="I45" s="111">
        <f t="shared" si="64"/>
        <v>1.2136528601598188E-3</v>
      </c>
      <c r="J45" s="112">
        <f t="shared" si="65"/>
        <v>7.7534212971309993</v>
      </c>
    </row>
    <row r="46" spans="1:10" ht="15">
      <c r="A46" s="108" t="s">
        <v>149</v>
      </c>
      <c r="B46" s="109">
        <v>0.99987999999999999</v>
      </c>
      <c r="C46" s="123"/>
      <c r="D46" s="124"/>
      <c r="E46" s="110">
        <f>IFERROR(VLOOKUP("Pb-209",$A$4:$J$32,3)*VLOOKUP("Pb-209",Doses!$A$1:$O$42,8)*$B46,0)</f>
        <v>10024.838541666664</v>
      </c>
      <c r="F46" s="122">
        <f>IFERROR(VLOOKUP("Pb-209",$A$4:$J$32,4)*VLOOKUP("Pb-209",Doses!$A$1:$O$42,10)*$B46,0)</f>
        <v>1.5694463470319635</v>
      </c>
      <c r="G46" s="112">
        <f t="shared" si="66"/>
        <v>10026.407988013696</v>
      </c>
      <c r="H46" s="110">
        <f t="shared" si="63"/>
        <v>370.91902604166694</v>
      </c>
      <c r="I46" s="111">
        <f t="shared" si="64"/>
        <v>5.8069514840182711E-2</v>
      </c>
      <c r="J46" s="112">
        <f t="shared" si="65"/>
        <v>370.97709555650715</v>
      </c>
    </row>
    <row r="47" spans="1:10" ht="15">
      <c r="A47" s="104" t="s">
        <v>17</v>
      </c>
      <c r="B47" s="104" t="s">
        <v>50</v>
      </c>
      <c r="C47" s="123"/>
      <c r="D47" s="125"/>
      <c r="E47" s="114">
        <f>SUM(E48:E49)</f>
        <v>19490.524739583328</v>
      </c>
      <c r="F47" s="121">
        <f>SUM(F48:F49)</f>
        <v>3.051354166666667</v>
      </c>
      <c r="G47" s="116">
        <f>SUM(G48:G49)</f>
        <v>19493.576093749994</v>
      </c>
      <c r="H47" s="114">
        <f t="shared" si="63"/>
        <v>721.14941536458389</v>
      </c>
      <c r="I47" s="115">
        <f t="shared" si="64"/>
        <v>0.11290010416666679</v>
      </c>
      <c r="J47" s="116">
        <f t="shared" si="65"/>
        <v>721.26231546875056</v>
      </c>
    </row>
    <row r="48" spans="1:10" ht="15">
      <c r="A48" s="108" t="s">
        <v>150</v>
      </c>
      <c r="B48" s="109">
        <v>1</v>
      </c>
      <c r="C48" s="123"/>
      <c r="D48" s="124"/>
      <c r="E48" s="110">
        <f>IFERROR(VLOOKUP("Cs-137",$A$4:$J$32,3)*VLOOKUP("Cs-137",Doses!$A$1:$O$40,8)*$B48,0)</f>
        <v>10026.041666666664</v>
      </c>
      <c r="F48" s="122">
        <f>IFERROR(VLOOKUP("Cs-137",$A$4:$J$32,4)*VLOOKUP("Cs-137",Doses!$A$1:$O$40,10)*$B48,0)</f>
        <v>1.5696347031963471</v>
      </c>
      <c r="G48" s="112">
        <f t="shared" ref="G48:G49" si="67">SUM(E48:F48)</f>
        <v>10027.611301369861</v>
      </c>
      <c r="H48" s="110">
        <f t="shared" si="63"/>
        <v>370.96354166666697</v>
      </c>
      <c r="I48" s="111">
        <f t="shared" si="64"/>
        <v>5.8076484018264901E-2</v>
      </c>
      <c r="J48" s="112">
        <f t="shared" si="65"/>
        <v>371.02161815068524</v>
      </c>
    </row>
    <row r="49" spans="1:10" ht="15">
      <c r="A49" s="108" t="s">
        <v>151</v>
      </c>
      <c r="B49" s="109">
        <v>0.94399</v>
      </c>
      <c r="C49" s="123"/>
      <c r="D49" s="124"/>
      <c r="E49" s="110">
        <f>IFERROR(VLOOKUP("Ba-137m",$A$4:$J$32,3)*VLOOKUP("Ba-137m",Doses!$A$1:$O$40,8)*$B49,0)</f>
        <v>9464.4830729166642</v>
      </c>
      <c r="F49" s="122">
        <f>IFERROR(VLOOKUP("Ba-137m",$A$4:$J$32,4)*VLOOKUP("Ba-137m",Doses!$A$1:$O$40,10)*$B49,0)</f>
        <v>1.4817194634703197</v>
      </c>
      <c r="G49" s="112">
        <f t="shared" si="67"/>
        <v>9465.9647923801349</v>
      </c>
      <c r="H49" s="110">
        <f t="shared" si="63"/>
        <v>350.18587369791692</v>
      </c>
      <c r="I49" s="111">
        <f t="shared" si="64"/>
        <v>5.4823620148401885E-2</v>
      </c>
      <c r="J49" s="112">
        <f t="shared" si="65"/>
        <v>350.24069731806537</v>
      </c>
    </row>
    <row r="50" spans="1:10" ht="15">
      <c r="A50" s="104" t="s">
        <v>27</v>
      </c>
      <c r="B50" s="104" t="s">
        <v>50</v>
      </c>
      <c r="C50" s="123"/>
      <c r="D50" s="125"/>
      <c r="E50" s="114">
        <f>SUM(E51:E64)</f>
        <v>90234.388615364544</v>
      </c>
      <c r="F50" s="121">
        <f>SUM(F51:F64)</f>
        <v>14.126714460331051</v>
      </c>
      <c r="G50" s="116">
        <f>SUM(G51:G64)</f>
        <v>90248.515329824906</v>
      </c>
      <c r="H50" s="114">
        <f t="shared" si="63"/>
        <v>3338.6723787684914</v>
      </c>
      <c r="I50" s="115">
        <f t="shared" si="64"/>
        <v>0.52268843503224938</v>
      </c>
      <c r="J50" s="116">
        <f t="shared" si="65"/>
        <v>3339.195067203525</v>
      </c>
    </row>
    <row r="51" spans="1:10" ht="15">
      <c r="A51" s="108" t="s">
        <v>152</v>
      </c>
      <c r="B51" s="109">
        <v>1</v>
      </c>
      <c r="C51" s="123"/>
      <c r="D51" s="124"/>
      <c r="E51" s="110">
        <f>IFERROR(VLOOKUP("Ra-226",$A$4:$J$32,3)*VLOOKUP("Ra-226",Doses!$A$1:$O$40,8)*$B51,0)</f>
        <v>10026.041666666664</v>
      </c>
      <c r="F51" s="122">
        <f>IFERROR(VLOOKUP("Ra-226",$A$4:$J$32,4)*VLOOKUP("Ra-226",Doses!$A$1:$O$40,10)*$B51,0)</f>
        <v>1.5696347031963471</v>
      </c>
      <c r="G51" s="112">
        <f t="shared" ref="G51:G64" si="68">SUM(E51:F51)</f>
        <v>10027.611301369861</v>
      </c>
      <c r="H51" s="110">
        <f t="shared" si="63"/>
        <v>370.96354166666697</v>
      </c>
      <c r="I51" s="111">
        <f t="shared" si="64"/>
        <v>5.8076484018264901E-2</v>
      </c>
      <c r="J51" s="112">
        <f t="shared" si="65"/>
        <v>371.02161815068524</v>
      </c>
    </row>
    <row r="52" spans="1:10" ht="15">
      <c r="A52" s="108" t="s">
        <v>153</v>
      </c>
      <c r="B52" s="109">
        <v>1</v>
      </c>
      <c r="C52" s="123"/>
      <c r="D52" s="124"/>
      <c r="E52" s="110">
        <f>IFERROR(VLOOKUP("Rn-222",$A$4:$J$32,3)*VLOOKUP("Rn-222",Doses!$A$1:$O$40,8)*$B52,0)</f>
        <v>10026.041666666664</v>
      </c>
      <c r="F52" s="122">
        <f>IFERROR(VLOOKUP("Rn-222",$A$4:$J$32,4)*VLOOKUP("Rn-222",Doses!$A$1:$O$40,10)*$B52,0)</f>
        <v>1.5696347031963471</v>
      </c>
      <c r="G52" s="112">
        <f t="shared" si="68"/>
        <v>10027.611301369861</v>
      </c>
      <c r="H52" s="110">
        <f t="shared" si="63"/>
        <v>370.96354166666697</v>
      </c>
      <c r="I52" s="111">
        <f t="shared" si="64"/>
        <v>5.8076484018264901E-2</v>
      </c>
      <c r="J52" s="112">
        <f t="shared" si="65"/>
        <v>371.02161815068524</v>
      </c>
    </row>
    <row r="53" spans="1:10" ht="15">
      <c r="A53" s="108" t="s">
        <v>154</v>
      </c>
      <c r="B53" s="109">
        <v>1</v>
      </c>
      <c r="C53" s="123"/>
      <c r="D53" s="124"/>
      <c r="E53" s="110">
        <f>IFERROR(VLOOKUP("Po-218",$A$4:$J$32,3)*VLOOKUP("Po-218",Doses!$A$1:$O$40,8)*$B53,0)</f>
        <v>10026.041666666664</v>
      </c>
      <c r="F53" s="122">
        <f>IFERROR(VLOOKUP("Po-218",$A$4:$J$32,4)*VLOOKUP("Po-218",Doses!$A$1:$O$40,10)*$B53,0)</f>
        <v>1.5696347031963471</v>
      </c>
      <c r="G53" s="112">
        <f t="shared" si="68"/>
        <v>10027.611301369861</v>
      </c>
      <c r="H53" s="110">
        <f t="shared" si="63"/>
        <v>370.96354166666697</v>
      </c>
      <c r="I53" s="111">
        <f t="shared" si="64"/>
        <v>5.8076484018264901E-2</v>
      </c>
      <c r="J53" s="112">
        <f t="shared" si="65"/>
        <v>371.02161815068524</v>
      </c>
    </row>
    <row r="54" spans="1:10" ht="15">
      <c r="A54" s="108" t="s">
        <v>156</v>
      </c>
      <c r="B54" s="109">
        <v>2.0000000000000001E-4</v>
      </c>
      <c r="C54" s="123"/>
      <c r="D54" s="124"/>
      <c r="E54" s="110">
        <f>IFERROR(VLOOKUP("At-218",$A$4:$J$32,3)*VLOOKUP("At-218",Doses!$A$1:$O$40,8)*$B54,0)</f>
        <v>2.005208333333333</v>
      </c>
      <c r="F54" s="122">
        <f>IFERROR(VLOOKUP("At-218",$A$4:$J$32,4)*VLOOKUP("At-218",Doses!$A$1:$O$40,10)*$B54,0)</f>
        <v>3.1392694063926945E-4</v>
      </c>
      <c r="G54" s="112">
        <f>SUM(E54:F54)</f>
        <v>2.0055222602739722</v>
      </c>
      <c r="H54" s="110">
        <f t="shared" si="63"/>
        <v>7.4192708333333399E-2</v>
      </c>
      <c r="I54" s="111">
        <f t="shared" si="64"/>
        <v>1.1615296803652981E-5</v>
      </c>
      <c r="J54" s="112">
        <f t="shared" si="65"/>
        <v>7.4204323630137042E-2</v>
      </c>
    </row>
    <row r="55" spans="1:10" ht="15">
      <c r="A55" s="108" t="s">
        <v>158</v>
      </c>
      <c r="B55" s="109">
        <v>1.9999999999999999E-7</v>
      </c>
      <c r="C55" s="123"/>
      <c r="D55" s="124"/>
      <c r="E55" s="110">
        <f>IFERROR(VLOOKUP("Rn-218",$A$4:$J$32,3)*VLOOKUP("Rn-218",Doses!$A$1:$O$40,8)*$B55,0)</f>
        <v>2.0052083333333328E-3</v>
      </c>
      <c r="F55" s="122">
        <f>IFERROR(VLOOKUP("Rn-218",$A$4:$J$32,4)*VLOOKUP("Rn-218",Doses!$A$1:$O$40,10)*$B55,0)</f>
        <v>3.1392694063926939E-7</v>
      </c>
      <c r="G55" s="112">
        <f>SUM(E55:F55)</f>
        <v>2.0055222602739721E-3</v>
      </c>
      <c r="H55" s="110">
        <f t="shared" si="63"/>
        <v>7.4192708333333391E-5</v>
      </c>
      <c r="I55" s="111">
        <f t="shared" si="64"/>
        <v>1.1615296803652979E-8</v>
      </c>
      <c r="J55" s="112">
        <f t="shared" si="65"/>
        <v>7.4204323630137049E-5</v>
      </c>
    </row>
    <row r="56" spans="1:10" ht="15">
      <c r="A56" s="108" t="s">
        <v>155</v>
      </c>
      <c r="B56" s="109">
        <v>0.99980000000000002</v>
      </c>
      <c r="C56" s="123"/>
      <c r="D56" s="124"/>
      <c r="E56" s="110">
        <f>IFERROR(VLOOKUP("Pb-214",$A$4:$J$32,3)*VLOOKUP("Pb-214",Doses!$A$1:$O$40,8)*$B56,0)</f>
        <v>10024.03645833333</v>
      </c>
      <c r="F56" s="122">
        <f>IFERROR(VLOOKUP("Pb-214",$A$4:$J$32,4)*VLOOKUP("Pb-214",Doses!$A$1:$O$40,10)*$B56,0)</f>
        <v>1.569320776255708</v>
      </c>
      <c r="G56" s="112">
        <f t="shared" si="68"/>
        <v>10025.605779109586</v>
      </c>
      <c r="H56" s="110">
        <f t="shared" si="63"/>
        <v>370.88934895833358</v>
      </c>
      <c r="I56" s="111">
        <f t="shared" si="64"/>
        <v>5.8064868721461257E-2</v>
      </c>
      <c r="J56" s="112">
        <f t="shared" si="65"/>
        <v>370.94741382705507</v>
      </c>
    </row>
    <row r="57" spans="1:10" ht="15">
      <c r="A57" s="108" t="s">
        <v>157</v>
      </c>
      <c r="B57" s="109">
        <v>0.99999979999999999</v>
      </c>
      <c r="C57" s="123"/>
      <c r="D57" s="124"/>
      <c r="E57" s="110">
        <f>IFERROR(VLOOKUP("Bi-214",$A$4:$J$32,3)*VLOOKUP("Bi-214",Doses!$A$1:$O$40,8)*$B57,0)</f>
        <v>10026.039661458331</v>
      </c>
      <c r="F57" s="122">
        <f>IFERROR(VLOOKUP("Bi-214",$A$4:$J$32,4)*VLOOKUP("Bi-214",Doses!$A$1:$O$40,10)*$B57,0)</f>
        <v>1.5696343892694065</v>
      </c>
      <c r="G57" s="112">
        <f t="shared" si="68"/>
        <v>10027.6092958476</v>
      </c>
      <c r="H57" s="110">
        <f t="shared" si="63"/>
        <v>370.96346747395864</v>
      </c>
      <c r="I57" s="111">
        <f t="shared" si="64"/>
        <v>5.80764724029681E-2</v>
      </c>
      <c r="J57" s="112">
        <f t="shared" si="65"/>
        <v>371.02154394636159</v>
      </c>
    </row>
    <row r="58" spans="1:10" ht="15">
      <c r="A58" s="108" t="s">
        <v>159</v>
      </c>
      <c r="B58" s="109">
        <v>0.99979000004200003</v>
      </c>
      <c r="C58" s="123"/>
      <c r="D58" s="124"/>
      <c r="E58" s="110">
        <f>IFERROR(VLOOKUP("Po-214",$A$4:$J$32,3)*VLOOKUP("Po-214",Doses!$A$1:$O$40,8)*$B58,0)</f>
        <v>10023.936198337758</v>
      </c>
      <c r="F58" s="122">
        <f>IFERROR(VLOOKUP("Po-214",$A$4:$J$32,4)*VLOOKUP("Po-214",Doses!$A$1:$O$40,10)*$B58,0)</f>
        <v>1.5693050799746007</v>
      </c>
      <c r="G58" s="112">
        <f t="shared" si="68"/>
        <v>10025.505503417733</v>
      </c>
      <c r="H58" s="110">
        <f t="shared" si="63"/>
        <v>370.88563933849741</v>
      </c>
      <c r="I58" s="111">
        <f t="shared" si="64"/>
        <v>5.8064287959060282E-2</v>
      </c>
      <c r="J58" s="112">
        <f t="shared" si="65"/>
        <v>370.94370362645651</v>
      </c>
    </row>
    <row r="59" spans="1:10" ht="15">
      <c r="A59" s="108" t="s">
        <v>160</v>
      </c>
      <c r="B59" s="109">
        <v>2.0999995799999999E-4</v>
      </c>
      <c r="C59" s="123"/>
      <c r="D59" s="124"/>
      <c r="E59" s="110">
        <f>IFERROR(VLOOKUP("Tl-210",$A$4:$J$32,3)*VLOOKUP("Tl-210",Doses!$A$1:$O$40,8)*$B59,0)</f>
        <v>2.1054683289062495</v>
      </c>
      <c r="F59" s="122">
        <f>IFERROR(VLOOKUP("Tl-210",$A$4:$J$32,4)*VLOOKUP("Tl-210",Doses!$A$1:$O$40,10)*$B59,0)</f>
        <v>3.2962322174657534E-4</v>
      </c>
      <c r="G59" s="112">
        <f t="shared" si="68"/>
        <v>2.1057979521279959</v>
      </c>
      <c r="H59" s="110">
        <f t="shared" si="63"/>
        <v>7.7902328169531312E-2</v>
      </c>
      <c r="I59" s="111">
        <f t="shared" si="64"/>
        <v>1.21960592046233E-5</v>
      </c>
      <c r="J59" s="112">
        <f t="shared" si="65"/>
        <v>7.7914524228735932E-2</v>
      </c>
    </row>
    <row r="60" spans="1:10" ht="15">
      <c r="A60" s="108" t="s">
        <v>161</v>
      </c>
      <c r="B60" s="109">
        <v>1</v>
      </c>
      <c r="C60" s="123"/>
      <c r="D60" s="124"/>
      <c r="E60" s="110">
        <f>IFERROR(VLOOKUP("Pb-210",$A$4:$J$32,3)*VLOOKUP("Pb-210",Doses!$A$1:$O$40,8)*$B60,0)</f>
        <v>10026.041666666664</v>
      </c>
      <c r="F60" s="122">
        <f>IFERROR(VLOOKUP("Pb-210",$A$4:$J$32,4)*VLOOKUP("Pb-210",Doses!$A$1:$O$40,10)*$B60,0)</f>
        <v>1.5696347031963471</v>
      </c>
      <c r="G60" s="112">
        <f t="shared" si="68"/>
        <v>10027.611301369861</v>
      </c>
      <c r="H60" s="110">
        <f t="shared" si="63"/>
        <v>370.96354166666697</v>
      </c>
      <c r="I60" s="111">
        <f t="shared" si="64"/>
        <v>5.8076484018264901E-2</v>
      </c>
      <c r="J60" s="112">
        <f t="shared" si="65"/>
        <v>371.02161815068524</v>
      </c>
    </row>
    <row r="61" spans="1:10" ht="15">
      <c r="A61" s="108" t="s">
        <v>162</v>
      </c>
      <c r="B61" s="109">
        <v>1</v>
      </c>
      <c r="C61" s="123"/>
      <c r="D61" s="124"/>
      <c r="E61" s="110">
        <f>IFERROR(VLOOKUP("Bi-210",$A$4:$J$32,3)*VLOOKUP("Bi-210",Doses!$A$1:$O$40,8)*$B61,0)</f>
        <v>10026.041666666664</v>
      </c>
      <c r="F61" s="122">
        <f>IFERROR(VLOOKUP("Bi-210",$A$4:$J$32,4)*VLOOKUP("Bi-210",Doses!$A$1:$O$40,10)*$B61,0)</f>
        <v>1.5696347031963471</v>
      </c>
      <c r="G61" s="112">
        <f t="shared" si="68"/>
        <v>10027.611301369861</v>
      </c>
      <c r="H61" s="110">
        <f t="shared" si="63"/>
        <v>370.96354166666697</v>
      </c>
      <c r="I61" s="111">
        <f t="shared" si="64"/>
        <v>5.8076484018264901E-2</v>
      </c>
      <c r="J61" s="112">
        <f t="shared" si="65"/>
        <v>371.02161815068524</v>
      </c>
    </row>
    <row r="62" spans="1:10" ht="15">
      <c r="A62" s="108" t="s">
        <v>164</v>
      </c>
      <c r="B62" s="109">
        <v>1</v>
      </c>
      <c r="C62" s="123"/>
      <c r="D62" s="124"/>
      <c r="E62" s="110">
        <f>IFERROR(VLOOKUP("Po-210",$A$4:$J$32,3)*VLOOKUP("Po-210",Doses!$A$1:$O$40,8)*$B62,0)</f>
        <v>10026.041666666664</v>
      </c>
      <c r="F62" s="122">
        <f>IFERROR(VLOOKUP("Po-210",$A$4:$J$32,4)*VLOOKUP("Po-210",Doses!$A$1:$O$40,10)*$B62,0)</f>
        <v>1.5696347031963471</v>
      </c>
      <c r="G62" s="112">
        <f>SUM(E62:F62)</f>
        <v>10027.611301369861</v>
      </c>
      <c r="H62" s="110">
        <f t="shared" si="63"/>
        <v>370.96354166666697</v>
      </c>
      <c r="I62" s="111">
        <f t="shared" si="64"/>
        <v>5.8076484018264901E-2</v>
      </c>
      <c r="J62" s="112">
        <f t="shared" si="65"/>
        <v>371.02161815068524</v>
      </c>
    </row>
    <row r="63" spans="1:10" ht="15">
      <c r="A63" s="108" t="s">
        <v>163</v>
      </c>
      <c r="B63" s="109">
        <v>1.9000000000000001E-8</v>
      </c>
      <c r="C63" s="123"/>
      <c r="D63" s="124"/>
      <c r="E63" s="110">
        <f>IFERROR(VLOOKUP("Hg-206",$A$4:$J$32,3)*VLOOKUP("Hg-206",Doses!$A$1:$O$40,8)*$B63,0)</f>
        <v>1.9049479166666664E-4</v>
      </c>
      <c r="F63" s="122">
        <f>IFERROR(VLOOKUP("Hg-206",$A$4:$J$32,4)*VLOOKUP("Hg-206",Doses!$A$1:$O$40,10)*$B63,0)</f>
        <v>2.9823059360730597E-8</v>
      </c>
      <c r="G63" s="112">
        <f t="shared" si="68"/>
        <v>1.9052461472602737E-4</v>
      </c>
      <c r="H63" s="110">
        <f t="shared" si="63"/>
        <v>7.0483072916666727E-6</v>
      </c>
      <c r="I63" s="111">
        <f t="shared" si="64"/>
        <v>1.1034531963470332E-9</v>
      </c>
      <c r="J63" s="112">
        <f t="shared" si="65"/>
        <v>7.0494107448630197E-6</v>
      </c>
    </row>
    <row r="64" spans="1:10" ht="15">
      <c r="A64" s="108" t="s">
        <v>165</v>
      </c>
      <c r="B64" s="109">
        <v>1.339E-6</v>
      </c>
      <c r="C64" s="123"/>
      <c r="D64" s="124"/>
      <c r="E64" s="110">
        <f>IFERROR(VLOOKUP("Tl-206",$A$4:$J$32,3)*VLOOKUP("Tl-206",Doses!$A$1:$O$40,8)*$B64,0)</f>
        <v>1.3424869791666664E-2</v>
      </c>
      <c r="F64" s="122">
        <f>IFERROR(VLOOKUP("Tl-206",$A$4:$J$32,4)*VLOOKUP("Tl-206",Doses!$A$1:$O$40,10)*$B64,0)</f>
        <v>2.1017408675799087E-6</v>
      </c>
      <c r="G64" s="112">
        <f t="shared" si="68"/>
        <v>1.3426971532534243E-2</v>
      </c>
      <c r="H64" s="110">
        <f t="shared" si="63"/>
        <v>4.9672018229166709E-4</v>
      </c>
      <c r="I64" s="111">
        <f t="shared" si="64"/>
        <v>7.7764412100456698E-8</v>
      </c>
      <c r="J64" s="112">
        <f t="shared" si="65"/>
        <v>4.9679794670376756E-4</v>
      </c>
    </row>
    <row r="65" spans="1:10" ht="15">
      <c r="A65" s="104" t="s">
        <v>31</v>
      </c>
      <c r="B65" s="104" t="s">
        <v>50</v>
      </c>
      <c r="C65" s="123"/>
      <c r="D65" s="125"/>
      <c r="E65" s="114">
        <f>SUM(E66:E78)</f>
        <v>80208.346948697887</v>
      </c>
      <c r="F65" s="121">
        <f t="shared" ref="F65:G65" si="69">SUM(F66:F78)</f>
        <v>12.557079757134705</v>
      </c>
      <c r="G65" s="116">
        <f t="shared" si="69"/>
        <v>80220.904028455043</v>
      </c>
      <c r="H65" s="114">
        <f t="shared" si="63"/>
        <v>2967.7088371018249</v>
      </c>
      <c r="I65" s="115">
        <f t="shared" si="64"/>
        <v>0.46461195101398456</v>
      </c>
      <c r="J65" s="116">
        <f t="shared" si="65"/>
        <v>2968.1734490528397</v>
      </c>
    </row>
    <row r="66" spans="1:10" ht="15">
      <c r="A66" s="108" t="s">
        <v>153</v>
      </c>
      <c r="B66" s="109">
        <v>1</v>
      </c>
      <c r="C66" s="123"/>
      <c r="D66" s="124"/>
      <c r="E66" s="110">
        <f>IFERROR(VLOOKUP("Rn-222",$A$4:$J$32,3)*VLOOKUP("Rn-222",Doses!$A$1:$O$40,8)*$B66,0)</f>
        <v>10026.041666666664</v>
      </c>
      <c r="F66" s="122">
        <f>IFERROR(VLOOKUP("Rn-222",$A$4:$J$32,4)*VLOOKUP("Rn-222",Doses!$A$1:$O$40,10)*$B66,0)</f>
        <v>1.5696347031963471</v>
      </c>
      <c r="G66" s="112">
        <f t="shared" ref="G66:G67" si="70">SUM(E66:F66)</f>
        <v>10027.611301369861</v>
      </c>
      <c r="H66" s="110">
        <f t="shared" si="63"/>
        <v>370.96354166666697</v>
      </c>
      <c r="I66" s="111">
        <f t="shared" si="64"/>
        <v>5.8076484018264901E-2</v>
      </c>
      <c r="J66" s="112">
        <f t="shared" si="65"/>
        <v>371.02161815068524</v>
      </c>
    </row>
    <row r="67" spans="1:10" ht="15">
      <c r="A67" s="108" t="s">
        <v>154</v>
      </c>
      <c r="B67" s="109">
        <v>1</v>
      </c>
      <c r="C67" s="123"/>
      <c r="D67" s="124"/>
      <c r="E67" s="110">
        <f>IFERROR(VLOOKUP("Po-218",$A$4:$J$32,3)*VLOOKUP("Po-218",Doses!$A$1:$O$40,8)*$B67,0)</f>
        <v>10026.041666666664</v>
      </c>
      <c r="F67" s="122">
        <f>IFERROR(VLOOKUP("Po-218",$A$4:$J$32,4)*VLOOKUP("Po-218",Doses!$A$1:$O$40,10)*$B67,0)</f>
        <v>1.5696347031963471</v>
      </c>
      <c r="G67" s="112">
        <f t="shared" si="70"/>
        <v>10027.611301369861</v>
      </c>
      <c r="H67" s="110">
        <f t="shared" si="63"/>
        <v>370.96354166666697</v>
      </c>
      <c r="I67" s="111">
        <f t="shared" si="64"/>
        <v>5.8076484018264901E-2</v>
      </c>
      <c r="J67" s="112">
        <f t="shared" si="65"/>
        <v>371.02161815068524</v>
      </c>
    </row>
    <row r="68" spans="1:10" ht="15">
      <c r="A68" s="108" t="s">
        <v>156</v>
      </c>
      <c r="B68" s="109">
        <v>2.0000000000000001E-4</v>
      </c>
      <c r="C68" s="123"/>
      <c r="D68" s="124"/>
      <c r="E68" s="110">
        <f>IFERROR(VLOOKUP("At-218",$A$4:$J$32,3)*VLOOKUP("At-218",Doses!$A$1:$O$40,8)*$B68,0)</f>
        <v>2.005208333333333</v>
      </c>
      <c r="F68" s="122">
        <f>IFERROR(VLOOKUP("At-218",$A$4:$J$32,4)*VLOOKUP("At-218",Doses!$A$1:$O$40,10)*$B68,0)</f>
        <v>3.1392694063926945E-4</v>
      </c>
      <c r="G68" s="112">
        <f>SUM(E68:F68)</f>
        <v>2.0055222602739722</v>
      </c>
      <c r="H68" s="110">
        <f t="shared" si="63"/>
        <v>7.4192708333333399E-2</v>
      </c>
      <c r="I68" s="111">
        <f t="shared" si="64"/>
        <v>1.1615296803652981E-5</v>
      </c>
      <c r="J68" s="112">
        <f t="shared" si="65"/>
        <v>7.4204323630137042E-2</v>
      </c>
    </row>
    <row r="69" spans="1:10" ht="15">
      <c r="A69" s="108" t="s">
        <v>158</v>
      </c>
      <c r="B69" s="109">
        <v>1.9999999999999999E-7</v>
      </c>
      <c r="C69" s="123"/>
      <c r="D69" s="124"/>
      <c r="E69" s="110">
        <f>IFERROR(VLOOKUP("Rn-218",$A$4:$J$32,3)*VLOOKUP("Rn-218",Doses!$A$1:$O$40,8)*$B69,0)</f>
        <v>2.0052083333333328E-3</v>
      </c>
      <c r="F69" s="122">
        <f>IFERROR(VLOOKUP("Rn-218",$A$4:$J$32,4)*VLOOKUP("Rn-218",Doses!$A$1:$O$40,10)*$B69,0)</f>
        <v>3.1392694063926939E-7</v>
      </c>
      <c r="G69" s="112">
        <f>SUM(E69:F69)</f>
        <v>2.0055222602739721E-3</v>
      </c>
      <c r="H69" s="110">
        <f t="shared" si="63"/>
        <v>7.4192708333333391E-5</v>
      </c>
      <c r="I69" s="111">
        <f t="shared" si="64"/>
        <v>1.1615296803652979E-8</v>
      </c>
      <c r="J69" s="112">
        <f t="shared" si="65"/>
        <v>7.4204323630137049E-5</v>
      </c>
    </row>
    <row r="70" spans="1:10" ht="15">
      <c r="A70" s="108" t="s">
        <v>155</v>
      </c>
      <c r="B70" s="109">
        <v>0.99980000000000002</v>
      </c>
      <c r="C70" s="123"/>
      <c r="D70" s="124"/>
      <c r="E70" s="110">
        <f>IFERROR(VLOOKUP("Pb-214",$A$4:$J$32,3)*VLOOKUP("Pb-214",Doses!$A$1:$O$40,8)*$B70,0)</f>
        <v>10024.03645833333</v>
      </c>
      <c r="F70" s="122">
        <f>IFERROR(VLOOKUP("Pb-214",$A$4:$J$32,4)*VLOOKUP("Pb-214",Doses!$A$1:$O$40,10)*$B70,0)</f>
        <v>1.569320776255708</v>
      </c>
      <c r="G70" s="112">
        <f t="shared" ref="G70:G75" si="71">SUM(E70:F70)</f>
        <v>10025.605779109586</v>
      </c>
      <c r="H70" s="110">
        <f t="shared" si="63"/>
        <v>370.88934895833358</v>
      </c>
      <c r="I70" s="111">
        <f t="shared" si="64"/>
        <v>5.8064868721461257E-2</v>
      </c>
      <c r="J70" s="112">
        <f t="shared" si="65"/>
        <v>370.94741382705507</v>
      </c>
    </row>
    <row r="71" spans="1:10" ht="15">
      <c r="A71" s="108" t="s">
        <v>157</v>
      </c>
      <c r="B71" s="109">
        <v>0.99999979999999999</v>
      </c>
      <c r="C71" s="123"/>
      <c r="D71" s="124"/>
      <c r="E71" s="110">
        <f>IFERROR(VLOOKUP("Bi-214",$A$4:$J$32,3)*VLOOKUP("Bi-214",Doses!$A$1:$O$40,8)*$B71,0)</f>
        <v>10026.039661458331</v>
      </c>
      <c r="F71" s="122">
        <f>IFERROR(VLOOKUP("Bi-214",$A$4:$J$32,4)*VLOOKUP("Bi-214",Doses!$A$1:$O$40,10)*$B71,0)</f>
        <v>1.5696343892694065</v>
      </c>
      <c r="G71" s="112">
        <f t="shared" si="71"/>
        <v>10027.6092958476</v>
      </c>
      <c r="H71" s="110">
        <f t="shared" si="63"/>
        <v>370.96346747395864</v>
      </c>
      <c r="I71" s="111">
        <f t="shared" si="64"/>
        <v>5.80764724029681E-2</v>
      </c>
      <c r="J71" s="112">
        <f t="shared" si="65"/>
        <v>371.02154394636159</v>
      </c>
    </row>
    <row r="72" spans="1:10" ht="15">
      <c r="A72" s="108" t="s">
        <v>159</v>
      </c>
      <c r="B72" s="109">
        <v>0.99979000004200003</v>
      </c>
      <c r="C72" s="123"/>
      <c r="D72" s="124"/>
      <c r="E72" s="110">
        <f>IFERROR(VLOOKUP("Po-214",$A$4:$J$32,3)*VLOOKUP("Po-214",Doses!$A$1:$O$40,8)*$B72,0)</f>
        <v>10023.936198337758</v>
      </c>
      <c r="F72" s="122">
        <f>IFERROR(VLOOKUP("Po-214",$A$4:$J$32,4)*VLOOKUP("Po-214",Doses!$A$1:$O$40,10)*$B72,0)</f>
        <v>1.5693050799746007</v>
      </c>
      <c r="G72" s="112">
        <f t="shared" si="71"/>
        <v>10025.505503417733</v>
      </c>
      <c r="H72" s="110">
        <f t="shared" si="63"/>
        <v>370.88563933849741</v>
      </c>
      <c r="I72" s="111">
        <f t="shared" si="64"/>
        <v>5.8064287959060282E-2</v>
      </c>
      <c r="J72" s="112">
        <f t="shared" si="65"/>
        <v>370.94370362645651</v>
      </c>
    </row>
    <row r="73" spans="1:10" ht="15">
      <c r="A73" s="108" t="s">
        <v>160</v>
      </c>
      <c r="B73" s="109">
        <v>2.0999995799999999E-4</v>
      </c>
      <c r="C73" s="123"/>
      <c r="D73" s="124"/>
      <c r="E73" s="110">
        <f>IFERROR(VLOOKUP("Tl-210",$A$4:$J$32,3)*VLOOKUP("Tl-210",Doses!$A$1:$O$40,8)*$B73,0)</f>
        <v>2.1054683289062495</v>
      </c>
      <c r="F73" s="122">
        <f>IFERROR(VLOOKUP("Tl-210",$A$4:$J$32,4)*VLOOKUP("Tl-210",Doses!$A$1:$O$40,10)*$B73,0)</f>
        <v>3.2962322174657534E-4</v>
      </c>
      <c r="G73" s="112">
        <f t="shared" si="71"/>
        <v>2.1057979521279959</v>
      </c>
      <c r="H73" s="110">
        <f t="shared" si="63"/>
        <v>7.7902328169531312E-2</v>
      </c>
      <c r="I73" s="111">
        <f t="shared" si="64"/>
        <v>1.21960592046233E-5</v>
      </c>
      <c r="J73" s="112">
        <f t="shared" si="65"/>
        <v>7.7914524228735932E-2</v>
      </c>
    </row>
    <row r="74" spans="1:10" ht="15">
      <c r="A74" s="108" t="s">
        <v>161</v>
      </c>
      <c r="B74" s="109">
        <v>1</v>
      </c>
      <c r="C74" s="123"/>
      <c r="D74" s="124"/>
      <c r="E74" s="110">
        <f>IFERROR(VLOOKUP("Pb-210",$A$4:$J$32,3)*VLOOKUP("Pb-210",Doses!$A$1:$O$40,8)*$B74,0)</f>
        <v>10026.041666666664</v>
      </c>
      <c r="F74" s="122">
        <f>IFERROR(VLOOKUP("Pb-210",$A$4:$J$32,4)*VLOOKUP("Pb-210",Doses!$A$1:$O$40,10)*$B74,0)</f>
        <v>1.5696347031963471</v>
      </c>
      <c r="G74" s="112">
        <f t="shared" si="71"/>
        <v>10027.611301369861</v>
      </c>
      <c r="H74" s="110">
        <f t="shared" si="63"/>
        <v>370.96354166666697</v>
      </c>
      <c r="I74" s="111">
        <f t="shared" si="64"/>
        <v>5.8076484018264901E-2</v>
      </c>
      <c r="J74" s="112">
        <f t="shared" si="65"/>
        <v>371.02161815068524</v>
      </c>
    </row>
    <row r="75" spans="1:10" ht="15">
      <c r="A75" s="108" t="s">
        <v>162</v>
      </c>
      <c r="B75" s="109">
        <v>1</v>
      </c>
      <c r="C75" s="123"/>
      <c r="D75" s="124"/>
      <c r="E75" s="110">
        <f>IFERROR(VLOOKUP("Bi-210",$A$4:$J$32,3)*VLOOKUP("Bi-210",Doses!$A$1:$O$40,8)*$B75,0)</f>
        <v>10026.041666666664</v>
      </c>
      <c r="F75" s="122">
        <f>IFERROR(VLOOKUP("Bi-210",$A$4:$J$32,4)*VLOOKUP("Bi-210",Doses!$A$1:$O$40,10)*$B75,0)</f>
        <v>1.5696347031963471</v>
      </c>
      <c r="G75" s="112">
        <f t="shared" si="71"/>
        <v>10027.611301369861</v>
      </c>
      <c r="H75" s="110">
        <f t="shared" si="63"/>
        <v>370.96354166666697</v>
      </c>
      <c r="I75" s="111">
        <f t="shared" si="64"/>
        <v>5.8076484018264901E-2</v>
      </c>
      <c r="J75" s="112">
        <f t="shared" si="65"/>
        <v>371.02161815068524</v>
      </c>
    </row>
    <row r="76" spans="1:10" ht="15">
      <c r="A76" s="108" t="s">
        <v>164</v>
      </c>
      <c r="B76" s="109">
        <v>1</v>
      </c>
      <c r="C76" s="123"/>
      <c r="D76" s="124"/>
      <c r="E76" s="110">
        <f>IFERROR(VLOOKUP("Po-210",$A$4:$J$32,3)*VLOOKUP("Po-210",Doses!$A$1:$O$40,8)*$B76,0)</f>
        <v>10026.041666666664</v>
      </c>
      <c r="F76" s="122">
        <f>IFERROR(VLOOKUP("Po-210",$A$4:$J$32,4)*VLOOKUP("Po-210",Doses!$A$1:$O$40,10)*$B76,0)</f>
        <v>1.5696347031963471</v>
      </c>
      <c r="G76" s="112">
        <f>SUM(E76:F76)</f>
        <v>10027.611301369861</v>
      </c>
      <c r="H76" s="110">
        <f t="shared" si="63"/>
        <v>370.96354166666697</v>
      </c>
      <c r="I76" s="111">
        <f t="shared" si="64"/>
        <v>5.8076484018264901E-2</v>
      </c>
      <c r="J76" s="112">
        <f t="shared" si="65"/>
        <v>371.02161815068524</v>
      </c>
    </row>
    <row r="77" spans="1:10" ht="15">
      <c r="A77" s="108" t="s">
        <v>163</v>
      </c>
      <c r="B77" s="109">
        <v>1.9000000000000001E-8</v>
      </c>
      <c r="C77" s="123"/>
      <c r="D77" s="124"/>
      <c r="E77" s="110">
        <f>IFERROR(VLOOKUP("Hg-206",$A$4:$J$32,3)*VLOOKUP("Hg-206",Doses!$A$1:$O$40,8)*$B77,0)</f>
        <v>1.9049479166666664E-4</v>
      </c>
      <c r="F77" s="122">
        <f>IFERROR(VLOOKUP("Hg-206",$A$4:$J$32,4)*VLOOKUP("Hg-206",Doses!$A$1:$O$40,10)*$B77,0)</f>
        <v>2.9823059360730597E-8</v>
      </c>
      <c r="G77" s="112">
        <f t="shared" ref="G77:G78" si="72">SUM(E77:F77)</f>
        <v>1.9052461472602737E-4</v>
      </c>
      <c r="H77" s="110">
        <f t="shared" si="63"/>
        <v>7.0483072916666727E-6</v>
      </c>
      <c r="I77" s="111">
        <f t="shared" si="64"/>
        <v>1.1034531963470332E-9</v>
      </c>
      <c r="J77" s="112">
        <f t="shared" si="65"/>
        <v>7.0494107448630197E-6</v>
      </c>
    </row>
    <row r="78" spans="1:10" ht="15">
      <c r="A78" s="108" t="s">
        <v>165</v>
      </c>
      <c r="B78" s="109">
        <v>1.339E-6</v>
      </c>
      <c r="C78" s="123"/>
      <c r="D78" s="124"/>
      <c r="E78" s="110">
        <f>IFERROR(VLOOKUP("Tl-206",$A$4:$J$32,3)*VLOOKUP("Tl-206",Doses!$A$1:$O$40,8)*$B78,0)</f>
        <v>1.3424869791666664E-2</v>
      </c>
      <c r="F78" s="122">
        <f>IFERROR(VLOOKUP("Tl-206",$A$4:$J$32,4)*VLOOKUP("Tl-206",Doses!$A$1:$O$40,10)*$B78,0)</f>
        <v>2.1017408675799087E-6</v>
      </c>
      <c r="G78" s="112">
        <f t="shared" si="72"/>
        <v>1.3426971532534243E-2</v>
      </c>
      <c r="H78" s="110">
        <f t="shared" si="63"/>
        <v>4.9672018229166709E-4</v>
      </c>
      <c r="I78" s="111">
        <f t="shared" si="64"/>
        <v>7.7764412100456698E-8</v>
      </c>
      <c r="J78" s="112">
        <f t="shared" si="65"/>
        <v>4.9679794670376756E-4</v>
      </c>
    </row>
  </sheetData>
  <sheetProtection algorithmName="SHA-512" hashValue="Sp7wyKkJcW962ARx23OtHp+c9P9DK4VvZMDlAeB4k6qDf8WvwA0ix4a152HTF/+xEQXln8IuaBjcmzpo1Q5gMg==" saltValue="30ykuGu/om9IS4GaOCJGdQ==" spinCount="100000" sheet="1" formatCells="0" formatColumns="0" formatRows="0" insertColumns="0" insertRows="0" autoFilter="0"/>
  <autoFilter ref="A2:J78" xr:uid="{00000000-0009-0000-0000-000012000000}"/>
  <mergeCells count="3">
    <mergeCell ref="E1:G1"/>
    <mergeCell ref="H1:J1"/>
    <mergeCell ref="C1:D1"/>
  </mergeCells>
  <pageMargins left="0.7" right="0.7" top="0.75" bottom="0.75" header="0.3" footer="0.3"/>
  <pageSetup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tint="0.79998168889431442"/>
  </sheetPr>
  <dimension ref="A1:Q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5.5703125" style="22" bestFit="1" customWidth="1"/>
    <col min="4" max="4" width="15.85546875" style="22" bestFit="1" customWidth="1"/>
    <col min="5" max="6" width="16.5703125" style="22" bestFit="1" customWidth="1"/>
    <col min="7" max="7" width="17.5703125" style="22" bestFit="1" customWidth="1"/>
    <col min="8" max="8" width="15.5703125" style="22" bestFit="1" customWidth="1"/>
    <col min="9" max="9" width="15.85546875" style="22" bestFit="1" customWidth="1"/>
    <col min="10" max="11" width="16.5703125" style="22" bestFit="1" customWidth="1"/>
    <col min="12" max="12" width="17.5703125" style="22" bestFit="1" customWidth="1"/>
    <col min="13" max="13" width="15.5703125" style="22" bestFit="1" customWidth="1"/>
    <col min="14" max="14" width="15.85546875" style="22" bestFit="1" customWidth="1"/>
    <col min="15" max="16" width="16.5703125" style="22" bestFit="1" customWidth="1"/>
    <col min="17" max="17" width="17.5703125" style="22" bestFit="1" customWidth="1"/>
  </cols>
  <sheetData>
    <row r="1" spans="1:17" ht="13.5" thickBot="1">
      <c r="C1" s="142" t="s">
        <v>227</v>
      </c>
      <c r="D1" s="143"/>
      <c r="E1" s="143"/>
      <c r="F1" s="143"/>
      <c r="G1" s="144"/>
      <c r="H1" s="142" t="s">
        <v>51</v>
      </c>
      <c r="I1" s="143"/>
      <c r="J1" s="143"/>
      <c r="K1" s="143"/>
      <c r="L1" s="144"/>
      <c r="M1" s="142" t="s">
        <v>100</v>
      </c>
      <c r="N1" s="143"/>
      <c r="O1" s="143"/>
      <c r="P1" s="143"/>
      <c r="Q1" s="144"/>
    </row>
    <row r="2" spans="1:17">
      <c r="A2" s="11" t="s">
        <v>0</v>
      </c>
      <c r="B2" s="11" t="s">
        <v>43</v>
      </c>
      <c r="C2" s="23" t="s">
        <v>108</v>
      </c>
      <c r="D2" s="24" t="s">
        <v>109</v>
      </c>
      <c r="E2" s="24" t="s">
        <v>110</v>
      </c>
      <c r="F2" s="24" t="s">
        <v>111</v>
      </c>
      <c r="G2" s="25" t="s">
        <v>112</v>
      </c>
      <c r="H2" s="23" t="s">
        <v>108</v>
      </c>
      <c r="I2" s="24" t="s">
        <v>109</v>
      </c>
      <c r="J2" s="24" t="s">
        <v>110</v>
      </c>
      <c r="K2" s="24" t="s">
        <v>111</v>
      </c>
      <c r="L2" s="25" t="s">
        <v>112</v>
      </c>
      <c r="M2" s="23" t="s">
        <v>108</v>
      </c>
      <c r="N2" s="24" t="s">
        <v>109</v>
      </c>
      <c r="O2" s="24" t="s">
        <v>110</v>
      </c>
      <c r="P2" s="24" t="s">
        <v>111</v>
      </c>
      <c r="Q2" s="25" t="s">
        <v>112</v>
      </c>
    </row>
    <row r="3" spans="1:17" ht="13.5" thickBot="1">
      <c r="B3" s="26" t="s">
        <v>44</v>
      </c>
      <c r="C3" s="93" t="s">
        <v>218</v>
      </c>
      <c r="D3" s="120" t="s">
        <v>218</v>
      </c>
      <c r="E3" s="120" t="s">
        <v>218</v>
      </c>
      <c r="F3" s="120" t="s">
        <v>218</v>
      </c>
      <c r="G3" s="94" t="s">
        <v>218</v>
      </c>
      <c r="H3" s="100" t="s">
        <v>219</v>
      </c>
      <c r="I3" s="101" t="s">
        <v>219</v>
      </c>
      <c r="J3" s="101" t="s">
        <v>219</v>
      </c>
      <c r="K3" s="101" t="s">
        <v>219</v>
      </c>
      <c r="L3" s="102" t="s">
        <v>219</v>
      </c>
      <c r="M3" s="100" t="s">
        <v>219</v>
      </c>
      <c r="N3" s="101" t="s">
        <v>219</v>
      </c>
      <c r="O3" s="101" t="s">
        <v>219</v>
      </c>
      <c r="P3" s="101" t="s">
        <v>219</v>
      </c>
      <c r="Q3" s="102" t="s">
        <v>219</v>
      </c>
    </row>
    <row r="4" spans="1:17">
      <c r="A4" s="82" t="s">
        <v>23</v>
      </c>
      <c r="B4" s="12" t="s">
        <v>50</v>
      </c>
      <c r="C4" s="127">
        <f>s_C*s_EFres*(1/365)*s_ETres*(1/24)*Isospec!M3*s_Fin*s_Fi*s_Fam*s_Foff*s_GSFb</f>
        <v>0.30090027071826486</v>
      </c>
      <c r="D4" s="127">
        <f>s_C*s_EFres*(1/365)*s_ETres*(1/24)*Isospec!L3*s_Fin*s_Fi*s_Fam*s_Foff*s_GSFb</f>
        <v>0.948419171325799</v>
      </c>
      <c r="E4" s="127">
        <f>s_C*s_EFres*(1/365)*s_ETres*(1/24)*Isospec!N3*s_Fin*s_Fi*s_Fam*s_Foff*s_GSFb</f>
        <v>0.57058683790216891</v>
      </c>
      <c r="F4" s="127">
        <f>s_C*s_EFres*(1/365)*s_ETres*(1/24)*Isospec!O3*s_Fin*s_Fi*s_Fam*s_Foff*s_GSFb</f>
        <v>0.59772688047956624</v>
      </c>
      <c r="G4" s="127">
        <f>s_C*s_EFres*(1/365)*s_ETres*(1/24)*Isospec!P3*s_Fin*s_Fi*s_Fam*s_Foff*s_GSFb</f>
        <v>0.50484316284178077</v>
      </c>
      <c r="H4" s="2">
        <f>C4*Doses!I2</f>
        <v>1.5045013535913243</v>
      </c>
      <c r="I4" s="3">
        <f>D4*Doses!L2</f>
        <v>4.7420958566289952</v>
      </c>
      <c r="J4" s="3">
        <f>E4*Doses!M2</f>
        <v>2.8529341895108447</v>
      </c>
      <c r="K4" s="3">
        <f>F4*Doses!N2</f>
        <v>2.9886344023978313</v>
      </c>
      <c r="L4" s="5">
        <f>G4*Doses!O2</f>
        <v>2.5242158142089037</v>
      </c>
      <c r="M4" s="2">
        <f t="shared" ref="M4:M5" si="0">IFERROR(H4/s_1_bq,".")</f>
        <v>5.5666550082879053E-2</v>
      </c>
      <c r="N4" s="3">
        <f t="shared" ref="N4:N5" si="1">IFERROR(I4/s_1_bq,".")</f>
        <v>0.175457546695273</v>
      </c>
      <c r="O4" s="3">
        <f t="shared" ref="O4:O5" si="2">IFERROR(J4/s_1_bq,".")</f>
        <v>0.10555856501190136</v>
      </c>
      <c r="P4" s="3">
        <f t="shared" ref="P4:P5" si="3">IFERROR(K4/s_1_bq,".")</f>
        <v>0.11057947288871987</v>
      </c>
      <c r="Q4" s="5">
        <f t="shared" ref="Q4:Q5" si="4">IFERROR(L4/s_1_bq,".")</f>
        <v>9.3395985125729539E-2</v>
      </c>
    </row>
    <row r="5" spans="1:17">
      <c r="A5" s="83" t="s">
        <v>14</v>
      </c>
      <c r="B5" s="12" t="s">
        <v>44</v>
      </c>
      <c r="C5" s="127">
        <f>s_C*s_EFres*(1/365)*s_ETres*(1/24)*Isospec!M4*s_Fin*s_Fi*s_Fam*s_Foff*s_GSFb</f>
        <v>0.58817687385730599</v>
      </c>
      <c r="D5" s="127">
        <f>s_C*s_EFres*(1/365)*s_ETres*(1/24)*Isospec!L4*s_Fin*s_Fi*s_Fam*s_Foff*s_GSFb</f>
        <v>1.3352663081514795</v>
      </c>
      <c r="E5" s="127">
        <f>s_C*s_EFres*(1/365)*s_ETres*(1/24)*Isospec!N4*s_Fin*s_Fi*s_Fam*s_Foff*s_GSFb</f>
        <v>1.3752890670271074</v>
      </c>
      <c r="F5" s="127">
        <f>s_C*s_EFres*(1/365)*s_ETres*(1/24)*Isospec!O4*s_Fin*s_Fi*s_Fam*s_Foff*s_GSFb</f>
        <v>1.2391936453102879</v>
      </c>
      <c r="G5" s="127">
        <f>s_C*s_EFres*(1/365)*s_ETres*(1/24)*Isospec!P4*s_Fin*s_Fi*s_Fam*s_Foff*s_GSFb</f>
        <v>0.79491386010521248</v>
      </c>
      <c r="H5" s="2">
        <f>C5*Doses!I3</f>
        <v>2.9408843692865299</v>
      </c>
      <c r="I5" s="3">
        <f>D5*Doses!L3</f>
        <v>6.6763315407573973</v>
      </c>
      <c r="J5" s="3">
        <f>E5*Doses!M3</f>
        <v>6.8764453351355375</v>
      </c>
      <c r="K5" s="3">
        <f>F5*Doses!N3</f>
        <v>6.1959682265514395</v>
      </c>
      <c r="L5" s="5">
        <f>G5*Doses!O3</f>
        <v>3.9745693005260625</v>
      </c>
      <c r="M5" s="2">
        <f t="shared" si="0"/>
        <v>0.10881272166360172</v>
      </c>
      <c r="N5" s="3">
        <f t="shared" si="1"/>
        <v>0.24702426700802396</v>
      </c>
      <c r="O5" s="3">
        <f t="shared" si="2"/>
        <v>0.25442847740001512</v>
      </c>
      <c r="P5" s="3">
        <f t="shared" si="3"/>
        <v>0.22925082438240349</v>
      </c>
      <c r="Q5" s="5">
        <f t="shared" si="4"/>
        <v>0.14705906411946446</v>
      </c>
    </row>
    <row r="6" spans="1:17">
      <c r="A6" s="82" t="s">
        <v>15</v>
      </c>
      <c r="B6" s="12" t="s">
        <v>50</v>
      </c>
      <c r="C6" s="127">
        <f>s_C*s_EFres*(1/365)*s_ETres*(1/24)*Isospec!M5*s_Fin*s_Fi*s_Fam*s_Foff*s_GSFb</f>
        <v>1.5931142640981735E-3</v>
      </c>
      <c r="D6" s="127">
        <f>s_C*s_EFres*(1/365)*s_ETres*(1/24)*Isospec!L5*s_Fin*s_Fi*s_Fam*s_Foff*s_GSFb</f>
        <v>1.8629554390057078E-3</v>
      </c>
      <c r="E6" s="127">
        <f>s_C*s_EFres*(1/365)*s_ETres*(1/24)*Isospec!N5*s_Fin*s_Fi*s_Fam*s_Foff*s_GSFb</f>
        <v>1.9694520667488586E-3</v>
      </c>
      <c r="F6" s="127">
        <f>s_C*s_EFres*(1/365)*s_ETres*(1/24)*Isospec!O5*s_Fin*s_Fi*s_Fam*s_Foff*s_GSFb</f>
        <v>1.8788143985981735E-3</v>
      </c>
      <c r="G6" s="127">
        <f>s_C*s_EFres*(1/365)*s_ETres*(1/24)*Isospec!P5*s_Fin*s_Fi*s_Fam*s_Foff*s_GSFb</f>
        <v>1.6834187209018266E-3</v>
      </c>
      <c r="H6" s="2">
        <f>C6*Doses!I4</f>
        <v>7.9655713204908676E-3</v>
      </c>
      <c r="I6" s="3">
        <f>D6*Doses!L4</f>
        <v>9.3147771950285382E-3</v>
      </c>
      <c r="J6" s="3">
        <f>E6*Doses!M4</f>
        <v>9.8472603337442927E-3</v>
      </c>
      <c r="K6" s="3">
        <f>F6*Doses!N4</f>
        <v>9.394071992990867E-3</v>
      </c>
      <c r="L6" s="5">
        <f>G6*Doses!O4</f>
        <v>8.4170936045091325E-3</v>
      </c>
      <c r="M6" s="2">
        <f t="shared" ref="M6:M8" si="5">IFERROR(H6/s_1_bq,".")</f>
        <v>2.9472613885816242E-4</v>
      </c>
      <c r="N6" s="3">
        <f t="shared" ref="N6:N8" si="6">IFERROR(I6/s_1_bq,".")</f>
        <v>3.4464675621605624E-4</v>
      </c>
      <c r="O6" s="3">
        <f t="shared" ref="O6:O8" si="7">IFERROR(J6/s_1_bq,".")</f>
        <v>3.6434863234853922E-4</v>
      </c>
      <c r="P6" s="3">
        <f t="shared" ref="P6:P8" si="8">IFERROR(K6/s_1_bq,".")</f>
        <v>3.4758066374066242E-4</v>
      </c>
      <c r="Q6" s="5">
        <f t="shared" ref="Q6:Q8" si="9">IFERROR(L6/s_1_bq,".")</f>
        <v>3.1143246336683822E-4</v>
      </c>
    </row>
    <row r="7" spans="1:17">
      <c r="A7" s="82" t="s">
        <v>16</v>
      </c>
      <c r="B7" s="84" t="s">
        <v>50</v>
      </c>
      <c r="C7" s="127">
        <f>s_C*s_EFres*(1/365)*s_ETres*(1/24)*Isospec!M6*s_Fin*s_Fi*s_Fam*s_Foff*s_GSFb</f>
        <v>0</v>
      </c>
      <c r="D7" s="127">
        <f>s_C*s_EFres*(1/365)*s_ETres*(1/24)*Isospec!L6*s_Fin*s_Fi*s_Fam*s_Foff*s_GSFb</f>
        <v>0</v>
      </c>
      <c r="E7" s="127">
        <f>s_C*s_EFres*(1/365)*s_ETres*(1/24)*Isospec!N6*s_Fin*s_Fi*s_Fam*s_Foff*s_GSFb</f>
        <v>0</v>
      </c>
      <c r="F7" s="127">
        <f>s_C*s_EFres*(1/365)*s_ETres*(1/24)*Isospec!O6*s_Fin*s_Fi*s_Fam*s_Foff*s_GSFb</f>
        <v>0</v>
      </c>
      <c r="G7" s="127">
        <f>s_C*s_EFres*(1/365)*s_ETres*(1/24)*Isospec!P6*s_Fin*s_Fi*s_Fam*s_Foff*s_GSFb</f>
        <v>0</v>
      </c>
      <c r="H7" s="2">
        <f>C7*Doses!I5</f>
        <v>0</v>
      </c>
      <c r="I7" s="3">
        <f>D7*Doses!L5</f>
        <v>0</v>
      </c>
      <c r="J7" s="3">
        <f>E7*Doses!M5</f>
        <v>0</v>
      </c>
      <c r="K7" s="3">
        <f>F7*Doses!N5</f>
        <v>0</v>
      </c>
      <c r="L7" s="5">
        <f>G7*Doses!O5</f>
        <v>0</v>
      </c>
      <c r="M7" s="2">
        <f t="shared" si="5"/>
        <v>0</v>
      </c>
      <c r="N7" s="3">
        <f t="shared" si="6"/>
        <v>0</v>
      </c>
      <c r="O7" s="3">
        <f t="shared" si="7"/>
        <v>0</v>
      </c>
      <c r="P7" s="3">
        <f t="shared" si="8"/>
        <v>0</v>
      </c>
      <c r="Q7" s="5">
        <f t="shared" si="9"/>
        <v>0</v>
      </c>
    </row>
    <row r="8" spans="1:17">
      <c r="A8" s="82" t="s">
        <v>18</v>
      </c>
      <c r="B8" s="12" t="s">
        <v>50</v>
      </c>
      <c r="C8" s="127">
        <f>s_C*s_EFres*(1/365)*s_ETres*(1/24)*Isospec!M7*s_Fin*s_Fi*s_Fam*s_Foff*s_GSFb</f>
        <v>1.5808660531621006</v>
      </c>
      <c r="D8" s="127">
        <f>s_C*s_EFres*(1/365)*s_ETres*(1/24)*Isospec!L7*s_Fin*s_Fi*s_Fam*s_Foff*s_GSFb</f>
        <v>1.1578532932886987</v>
      </c>
      <c r="E8" s="127">
        <f>s_C*s_EFres*(1/365)*s_ETres*(1/24)*Isospec!N7*s_Fin*s_Fi*s_Fam*s_Foff*s_GSFb</f>
        <v>1.5193251512146118</v>
      </c>
      <c r="F8" s="127">
        <f>s_C*s_EFres*(1/365)*s_ETres*(1/24)*Isospec!O7*s_Fin*s_Fi*s_Fam*s_Foff*s_GSFb</f>
        <v>1.6381736172773973</v>
      </c>
      <c r="G8" s="127">
        <f>s_C*s_EFres*(1/365)*s_ETres*(1/24)*Isospec!P7*s_Fin*s_Fi*s_Fam*s_Foff*s_GSFb</f>
        <v>1.3044325851860732</v>
      </c>
      <c r="H8" s="2">
        <f>C8*Doses!I6</f>
        <v>7.9043302658105032</v>
      </c>
      <c r="I8" s="3">
        <f>D8*Doses!L6</f>
        <v>5.7892664664434932</v>
      </c>
      <c r="J8" s="3">
        <f>E8*Doses!M6</f>
        <v>7.5966257560730588</v>
      </c>
      <c r="K8" s="3">
        <f>F8*Doses!N6</f>
        <v>8.1908680863869865</v>
      </c>
      <c r="L8" s="5">
        <f>G8*Doses!O6</f>
        <v>6.522162925930366</v>
      </c>
      <c r="M8" s="2">
        <f t="shared" si="5"/>
        <v>0.29246021983498893</v>
      </c>
      <c r="N8" s="3">
        <f t="shared" si="6"/>
        <v>0.21420285925840946</v>
      </c>
      <c r="O8" s="3">
        <f t="shared" si="7"/>
        <v>0.28107515297470348</v>
      </c>
      <c r="P8" s="3">
        <f t="shared" si="8"/>
        <v>0.30306211919631881</v>
      </c>
      <c r="Q8" s="5">
        <f t="shared" si="9"/>
        <v>0.24132002825942378</v>
      </c>
    </row>
    <row r="9" spans="1:17">
      <c r="A9" s="82" t="s">
        <v>19</v>
      </c>
      <c r="B9" s="85" t="s">
        <v>50</v>
      </c>
      <c r="C9" s="127">
        <f>s_C*s_EFres*(1/365)*s_ETres*(1/24)*Isospec!M8*s_Fin*s_Fi*s_Fam*s_Foff*s_GSFb</f>
        <v>1.9607602604634704E-6</v>
      </c>
      <c r="D9" s="127">
        <f>s_C*s_EFres*(1/365)*s_ETres*(1/24)*Isospec!L8*s_Fin*s_Fi*s_Fam*s_Foff*s_GSFb</f>
        <v>1.9901825722819632E-6</v>
      </c>
      <c r="E9" s="127">
        <f>s_C*s_EFres*(1/365)*s_ETres*(1/24)*Isospec!N8*s_Fin*s_Fi*s_Fam*s_Foff*s_GSFb</f>
        <v>2.315692763359589E-6</v>
      </c>
      <c r="F9" s="127">
        <f>s_C*s_EFres*(1/365)*s_ETres*(1/24)*Isospec!O8*s_Fin*s_Fi*s_Fam*s_Foff*s_GSFb</f>
        <v>2.3168246686586758E-6</v>
      </c>
      <c r="G9" s="127">
        <f>s_C*s_EFres*(1/365)*s_ETres*(1/24)*Isospec!P8*s_Fin*s_Fi*s_Fam*s_Foff*s_GSFb</f>
        <v>1.963032993204338E-6</v>
      </c>
      <c r="H9" s="2">
        <f>C9*Doses!I7</f>
        <v>9.8038013023173518E-6</v>
      </c>
      <c r="I9" s="3">
        <f>D9*Doses!L7</f>
        <v>9.9509128614098164E-6</v>
      </c>
      <c r="J9" s="3">
        <f>E9*Doses!M7</f>
        <v>1.1578463816797945E-5</v>
      </c>
      <c r="K9" s="3">
        <f>F9*Doses!N7</f>
        <v>1.1584123343293379E-5</v>
      </c>
      <c r="L9" s="5">
        <f>G9*Doses!O7</f>
        <v>9.8151649660216898E-6</v>
      </c>
      <c r="M9" s="2">
        <f t="shared" ref="M9:M11" si="10">IFERROR(H9/s_1_bq,".")</f>
        <v>3.6274064818574236E-7</v>
      </c>
      <c r="N9" s="3">
        <f t="shared" ref="N9:N11" si="11">IFERROR(I9/s_1_bq,".")</f>
        <v>3.6818377587216356E-7</v>
      </c>
      <c r="O9" s="3">
        <f t="shared" ref="O9:O11" si="12">IFERROR(J9/s_1_bq,".")</f>
        <v>4.284031612215244E-7</v>
      </c>
      <c r="P9" s="3">
        <f t="shared" ref="P9:P11" si="13">IFERROR(K9/s_1_bq,".")</f>
        <v>4.2861256370185547E-7</v>
      </c>
      <c r="Q9" s="5">
        <f t="shared" ref="Q9:Q11" si="14">IFERROR(L9/s_1_bq,".")</f>
        <v>3.631611037428029E-7</v>
      </c>
    </row>
    <row r="10" spans="1:17">
      <c r="A10" s="82" t="s">
        <v>20</v>
      </c>
      <c r="B10" s="12" t="s">
        <v>50</v>
      </c>
      <c r="C10" s="127">
        <f>s_C*s_EFres*(1/365)*s_ETres*(1/24)*Isospec!M9*s_Fin*s_Fi*s_Fam*s_Foff*s_GSFb</f>
        <v>0.52010532823710043</v>
      </c>
      <c r="D10" s="127">
        <f>s_C*s_EFres*(1/365)*s_ETres*(1/24)*Isospec!L9*s_Fin*s_Fi*s_Fam*s_Foff*s_GSFb</f>
        <v>0.45325704488744289</v>
      </c>
      <c r="E10" s="127">
        <f>s_C*s_EFres*(1/365)*s_ETres*(1/24)*Isospec!N9*s_Fin*s_Fi*s_Fam*s_Foff*s_GSFb</f>
        <v>0.53411474663538805</v>
      </c>
      <c r="F10" s="127">
        <f>s_C*s_EFres*(1/365)*s_ETres*(1/24)*Isospec!O9*s_Fin*s_Fi*s_Fam*s_Foff*s_GSFb</f>
        <v>0.57784360947751146</v>
      </c>
      <c r="G10" s="127">
        <f>s_C*s_EFres*(1/365)*s_ETres*(1/24)*Isospec!P9*s_Fin*s_Fi*s_Fam*s_Foff*s_GSFb</f>
        <v>0.50291284846426931</v>
      </c>
      <c r="H10" s="2">
        <f>C10*Doses!I8</f>
        <v>2.6005266411855024</v>
      </c>
      <c r="I10" s="3">
        <f>D10*Doses!L8</f>
        <v>2.2662852244372145</v>
      </c>
      <c r="J10" s="3">
        <f>E10*Doses!M8</f>
        <v>2.6705737331769401</v>
      </c>
      <c r="K10" s="3">
        <f>F10*Doses!N8</f>
        <v>2.8892180473875575</v>
      </c>
      <c r="L10" s="5">
        <f>G10*Doses!O8</f>
        <v>2.5145642423213466</v>
      </c>
      <c r="M10" s="2">
        <f t="shared" si="10"/>
        <v>9.6219485723863685E-2</v>
      </c>
      <c r="N10" s="3">
        <f t="shared" si="11"/>
        <v>8.3852553304177027E-2</v>
      </c>
      <c r="O10" s="3">
        <f t="shared" si="12"/>
        <v>9.8811228127546891E-2</v>
      </c>
      <c r="P10" s="3">
        <f t="shared" si="13"/>
        <v>0.10690106775333974</v>
      </c>
      <c r="Q10" s="5">
        <f t="shared" si="14"/>
        <v>9.3038876965889916E-2</v>
      </c>
    </row>
    <row r="11" spans="1:17">
      <c r="A11" s="82" t="s">
        <v>21</v>
      </c>
      <c r="B11" s="85" t="s">
        <v>50</v>
      </c>
      <c r="C11" s="127">
        <f>s_C*s_EFres*(1/365)*s_ETres*(1/24)*Isospec!M10*s_Fin*s_Fi*s_Fam*s_Foff*s_GSFb</f>
        <v>2.306907313760274</v>
      </c>
      <c r="D11" s="127">
        <f>s_C*s_EFres*(1/365)*s_ETres*(1/24)*Isospec!L10*s_Fin*s_Fi*s_Fam*s_Foff*s_GSFb</f>
        <v>1.5819470080936073</v>
      </c>
      <c r="E11" s="127">
        <f>s_C*s_EFres*(1/365)*s_ETres*(1/24)*Isospec!N10*s_Fin*s_Fi*s_Fam*s_Foff*s_GSFb</f>
        <v>2.0948087567226028</v>
      </c>
      <c r="F11" s="127">
        <f>s_C*s_EFres*(1/365)*s_ETres*(1/24)*Isospec!O10*s_Fin*s_Fi*s_Fam*s_Foff*s_GSFb</f>
        <v>2.1765779374166665</v>
      </c>
      <c r="G11" s="127">
        <f>s_C*s_EFres*(1/365)*s_ETres*(1/24)*Isospec!P10*s_Fin*s_Fi*s_Fam*s_Foff*s_GSFb</f>
        <v>1.8225872050833334</v>
      </c>
      <c r="H11" s="2">
        <f>C11*Doses!I9</f>
        <v>11.53453656880137</v>
      </c>
      <c r="I11" s="3">
        <f>D11*Doses!L9</f>
        <v>7.9097350404680364</v>
      </c>
      <c r="J11" s="3">
        <f>E11*Doses!M9</f>
        <v>10.474043783613014</v>
      </c>
      <c r="K11" s="3">
        <f>F11*Doses!N9</f>
        <v>10.882889687083333</v>
      </c>
      <c r="L11" s="5">
        <f>G11*Doses!O9</f>
        <v>9.1129360254166674</v>
      </c>
      <c r="M11" s="2">
        <f t="shared" si="10"/>
        <v>0.42677785304565113</v>
      </c>
      <c r="N11" s="3">
        <f t="shared" si="11"/>
        <v>0.29266019649731767</v>
      </c>
      <c r="O11" s="3">
        <f t="shared" si="12"/>
        <v>0.38753961999368192</v>
      </c>
      <c r="P11" s="3">
        <f t="shared" si="13"/>
        <v>0.40266691842208374</v>
      </c>
      <c r="Q11" s="5">
        <f t="shared" si="14"/>
        <v>0.33717863294041706</v>
      </c>
    </row>
    <row r="12" spans="1:17">
      <c r="A12" s="83" t="s">
        <v>17</v>
      </c>
      <c r="B12" s="12" t="s">
        <v>44</v>
      </c>
      <c r="C12" s="127">
        <f>s_C*s_EFres*(1/365)*s_ETres*(1/24)*Isospec!M11*s_Fin*s_Fi*s_Fam*s_Foff*s_GSFb</f>
        <v>9.8404070686643826E-6</v>
      </c>
      <c r="D12" s="127">
        <f>s_C*s_EFres*(1/365)*s_ETres*(1/24)*Isospec!L11*s_Fin*s_Fi*s_Fam*s_Foff*s_GSFb</f>
        <v>1.4129346087942614</v>
      </c>
      <c r="E12" s="127">
        <f>s_C*s_EFres*(1/365)*s_ETres*(1/24)*Isospec!N11*s_Fin*s_Fi*s_Fam*s_Foff*s_GSFb</f>
        <v>1.7823743027966483</v>
      </c>
      <c r="F12" s="127">
        <f>s_C*s_EFres*(1/365)*s_ETres*(1/24)*Isospec!O11*s_Fin*s_Fi*s_Fam*s_Foff*s_GSFb</f>
        <v>1.7026797401187639</v>
      </c>
      <c r="G12" s="127">
        <f>s_C*s_EFres*(1/365)*s_ETres*(1/24)*Isospec!P11*s_Fin*s_Fi*s_Fam*s_Foff*s_GSFb</f>
        <v>2.3186140126123962</v>
      </c>
      <c r="H12" s="2">
        <f>C12*Doses!I10</f>
        <v>4.9202035343321912E-5</v>
      </c>
      <c r="I12" s="3">
        <f>D12*Doses!L10</f>
        <v>7.0646730439713066</v>
      </c>
      <c r="J12" s="3">
        <f>E12*Doses!M10</f>
        <v>8.9118715139832414</v>
      </c>
      <c r="K12" s="3">
        <f>F12*Doses!N10</f>
        <v>8.5133987005938199</v>
      </c>
      <c r="L12" s="5">
        <f>G12*Doses!O10</f>
        <v>11.593070063061981</v>
      </c>
      <c r="M12" s="2">
        <f t="shared" ref="M12" si="15">IFERROR(H12/s_1_bq,".")</f>
        <v>1.8204753077029125E-6</v>
      </c>
      <c r="N12" s="3">
        <f t="shared" ref="N12" si="16">IFERROR(I12/s_1_bq,".")</f>
        <v>0.26139290262693859</v>
      </c>
      <c r="O12" s="3">
        <f t="shared" ref="O12" si="17">IFERROR(J12/s_1_bq,".")</f>
        <v>0.32973924601738025</v>
      </c>
      <c r="P12" s="3">
        <f t="shared" ref="P12" si="18">IFERROR(K12/s_1_bq,".")</f>
        <v>0.31499575192197166</v>
      </c>
      <c r="Q12" s="5">
        <f t="shared" ref="Q12" si="19">IFERROR(L12/s_1_bq,".")</f>
        <v>0.42894359233329377</v>
      </c>
    </row>
    <row r="13" spans="1:17">
      <c r="A13" s="82" t="s">
        <v>24</v>
      </c>
      <c r="B13" s="12" t="s">
        <v>50</v>
      </c>
      <c r="C13" s="127">
        <f>s_C*s_EFres*(1/365)*s_ETres*(1/24)*Isospec!M12*s_Fin*s_Fi*s_Fam*s_Foff*s_GSFb</f>
        <v>0.22615766948299085</v>
      </c>
      <c r="D13" s="127">
        <f>s_C*s_EFres*(1/365)*s_ETres*(1/24)*Isospec!L12*s_Fin*s_Fi*s_Fam*s_Foff*s_GSFb</f>
        <v>0.2951547289078767</v>
      </c>
      <c r="E13" s="127">
        <f>s_C*s_EFres*(1/365)*s_ETres*(1/24)*Isospec!N12*s_Fin*s_Fi*s_Fam*s_Foff*s_GSFb</f>
        <v>0.32224342919999999</v>
      </c>
      <c r="F13" s="127">
        <f>s_C*s_EFres*(1/365)*s_ETres*(1/24)*Isospec!O12*s_Fin*s_Fi*s_Fam*s_Foff*s_GSFb</f>
        <v>0.29983191614486299</v>
      </c>
      <c r="G13" s="127">
        <f>s_C*s_EFres*(1/365)*s_ETres*(1/24)*Isospec!P12*s_Fin*s_Fi*s_Fam*s_Foff*s_GSFb</f>
        <v>0.24598312435947489</v>
      </c>
      <c r="H13" s="2">
        <f>C13*Doses!I11</f>
        <v>1.1307883474149543</v>
      </c>
      <c r="I13" s="3">
        <f>D13*Doses!L11</f>
        <v>1.4757736445393834</v>
      </c>
      <c r="J13" s="3">
        <f>E13*Doses!M11</f>
        <v>1.611217146</v>
      </c>
      <c r="K13" s="3">
        <f>F13*Doses!N11</f>
        <v>1.499159580724315</v>
      </c>
      <c r="L13" s="5">
        <f>G13*Doses!O11</f>
        <v>1.2299156217973746</v>
      </c>
      <c r="M13" s="2">
        <f t="shared" ref="M13" si="20">IFERROR(H13/s_1_bq,".")</f>
        <v>4.1839168854353348E-2</v>
      </c>
      <c r="N13" s="3">
        <f t="shared" ref="N13" si="21">IFERROR(I13/s_1_bq,".")</f>
        <v>5.4603624847957243E-2</v>
      </c>
      <c r="O13" s="3">
        <f t="shared" ref="O13" si="22">IFERROR(J13/s_1_bq,".")</f>
        <v>5.9615034402000062E-2</v>
      </c>
      <c r="P13" s="3">
        <f t="shared" ref="P13" si="23">IFERROR(K13/s_1_bq,".")</f>
        <v>5.5468904486799711E-2</v>
      </c>
      <c r="Q13" s="5">
        <f t="shared" ref="Q13" si="24">IFERROR(L13/s_1_bq,".")</f>
        <v>4.5506878006502903E-2</v>
      </c>
    </row>
    <row r="14" spans="1:17">
      <c r="A14" s="82" t="s">
        <v>22</v>
      </c>
      <c r="B14" s="84" t="s">
        <v>50</v>
      </c>
      <c r="C14" s="127">
        <f>s_C*s_EFres*(1/365)*s_ETres*(1/24)*Isospec!M13*s_Fin*s_Fi*s_Fam*s_Foff*s_GSFb</f>
        <v>0.67707907030650683</v>
      </c>
      <c r="D14" s="127">
        <f>s_C*s_EFres*(1/365)*s_ETres*(1/24)*Isospec!L13*s_Fin*s_Fi*s_Fam*s_Foff*s_GSFb</f>
        <v>0.72968100339611874</v>
      </c>
      <c r="E14" s="127">
        <f>s_C*s_EFres*(1/365)*s_ETres*(1/24)*Isospec!N13*s_Fin*s_Fi*s_Fam*s_Foff*s_GSFb</f>
        <v>0.82990452628253419</v>
      </c>
      <c r="F14" s="127">
        <f>s_C*s_EFres*(1/365)*s_ETres*(1/24)*Isospec!O13*s_Fin*s_Fi*s_Fam*s_Foff*s_GSFb</f>
        <v>0.82121398935319634</v>
      </c>
      <c r="G14" s="127">
        <f>s_C*s_EFres*(1/365)*s_ETres*(1/24)*Isospec!P13*s_Fin*s_Fi*s_Fam*s_Foff*s_GSFb</f>
        <v>0.69330256768013698</v>
      </c>
      <c r="H14" s="2">
        <f>C14*Doses!I12</f>
        <v>3.3853953515325341</v>
      </c>
      <c r="I14" s="3">
        <f>D14*Doses!L12</f>
        <v>3.6484050169805937</v>
      </c>
      <c r="J14" s="3">
        <f>E14*Doses!M12</f>
        <v>4.1495226314126707</v>
      </c>
      <c r="K14" s="3">
        <f>F14*Doses!N12</f>
        <v>4.1060699467659818</v>
      </c>
      <c r="L14" s="5">
        <f>G14*Doses!O12</f>
        <v>3.4665128384006847</v>
      </c>
      <c r="M14" s="2">
        <f t="shared" ref="M14" si="25">IFERROR(H14/s_1_bq,".")</f>
        <v>0.1252596280067039</v>
      </c>
      <c r="N14" s="3">
        <f t="shared" ref="N14" si="26">IFERROR(I14/s_1_bq,".")</f>
        <v>0.1349909856282821</v>
      </c>
      <c r="O14" s="3">
        <f t="shared" ref="O14" si="27">IFERROR(J14/s_1_bq,".")</f>
        <v>0.15353233736226898</v>
      </c>
      <c r="P14" s="3">
        <f t="shared" ref="P14" si="28">IFERROR(K14/s_1_bq,".")</f>
        <v>0.15192458803034148</v>
      </c>
      <c r="Q14" s="5">
        <f t="shared" ref="Q14" si="29">IFERROR(L14/s_1_bq,".")</f>
        <v>0.12826097502082545</v>
      </c>
    </row>
    <row r="15" spans="1:17">
      <c r="A15" s="82" t="s">
        <v>28</v>
      </c>
      <c r="B15" s="12" t="s">
        <v>50</v>
      </c>
      <c r="C15" s="127">
        <f>s_C*s_EFres*(1/365)*s_ETres*(1/24)*Isospec!M14*s_Fin*s_Fi*s_Fam*s_Foff*s_GSFb</f>
        <v>0.74941491009954331</v>
      </c>
      <c r="D15" s="127">
        <f>s_C*s_EFres*(1/365)*s_ETres*(1/24)*Isospec!L14*s_Fin*s_Fi*s_Fam*s_Foff*s_GSFb</f>
        <v>2.523330247769406</v>
      </c>
      <c r="E15" s="127">
        <f>s_C*s_EFres*(1/365)*s_ETres*(1/24)*Isospec!N14*s_Fin*s_Fi*s_Fam*s_Foff*s_GSFb</f>
        <v>1.4739045717979451</v>
      </c>
      <c r="F15" s="127">
        <f>s_C*s_EFres*(1/365)*s_ETres*(1/24)*Isospec!O14*s_Fin*s_Fi*s_Fam*s_Foff*s_GSFb</f>
        <v>1.6689464118789954</v>
      </c>
      <c r="G15" s="127">
        <f>s_C*s_EFres*(1/365)*s_ETres*(1/24)*Isospec!P14*s_Fin*s_Fi*s_Fam*s_Foff*s_GSFb</f>
        <v>1.4154806125593609</v>
      </c>
      <c r="H15" s="2">
        <f>C15*Doses!I13</f>
        <v>3.7470745504977163</v>
      </c>
      <c r="I15" s="3">
        <f>D15*Doses!L13</f>
        <v>12.61665123884703</v>
      </c>
      <c r="J15" s="3">
        <f>E15*Doses!M13</f>
        <v>7.3695228589897255</v>
      </c>
      <c r="K15" s="3">
        <f>F15*Doses!N13</f>
        <v>8.3447320593949765</v>
      </c>
      <c r="L15" s="5">
        <f>G15*Doses!O13</f>
        <v>7.0774030627968045</v>
      </c>
      <c r="M15" s="2">
        <f t="shared" ref="M15:M16" si="30">IFERROR(H15/s_1_bq,".")</f>
        <v>0.13864175836841564</v>
      </c>
      <c r="N15" s="3">
        <f t="shared" ref="N15:N16" si="31">IFERROR(I15/s_1_bq,".")</f>
        <v>0.46681609583734057</v>
      </c>
      <c r="O15" s="3">
        <f t="shared" ref="O15:O16" si="32">IFERROR(J15/s_1_bq,".")</f>
        <v>0.27267234578262012</v>
      </c>
      <c r="P15" s="3">
        <f t="shared" ref="P15:P16" si="33">IFERROR(K15/s_1_bq,".")</f>
        <v>0.30875508619761444</v>
      </c>
      <c r="Q15" s="5">
        <f t="shared" ref="Q15:Q16" si="34">IFERROR(L15/s_1_bq,".")</f>
        <v>0.26186391332348202</v>
      </c>
    </row>
    <row r="16" spans="1:17">
      <c r="A16" s="82" t="s">
        <v>29</v>
      </c>
      <c r="B16" s="12" t="s">
        <v>50</v>
      </c>
      <c r="C16" s="127">
        <f>s_C*s_EFres*(1/365)*s_ETres*(1/24)*Isospec!M15*s_Fin*s_Fi*s_Fam*s_Foff*s_GSFb</f>
        <v>1.7674199357054794</v>
      </c>
      <c r="D16" s="127">
        <f>s_C*s_EFres*(1/365)*s_ETres*(1/24)*Isospec!L15*s_Fin*s_Fi*s_Fam*s_Foff*s_GSFb</f>
        <v>3.2232827010799086</v>
      </c>
      <c r="E16" s="127">
        <f>s_C*s_EFres*(1/365)*s_ETres*(1/24)*Isospec!N15*s_Fin*s_Fi*s_Fam*s_Foff*s_GSFb</f>
        <v>2.6208001870479452</v>
      </c>
      <c r="F16" s="127">
        <f>s_C*s_EFres*(1/365)*s_ETres*(1/24)*Isospec!O15*s_Fin*s_Fi*s_Fam*s_Foff*s_GSFb</f>
        <v>2.8328370642979452</v>
      </c>
      <c r="G16" s="127">
        <f>s_C*s_EFres*(1/365)*s_ETres*(1/24)*Isospec!P15*s_Fin*s_Fi*s_Fam*s_Foff*s_GSFb</f>
        <v>2.2516693331803652</v>
      </c>
      <c r="H16" s="2">
        <f>C16*Doses!I14</f>
        <v>8.8370996785273963</v>
      </c>
      <c r="I16" s="3">
        <f>D16*Doses!L14</f>
        <v>16.116413505399542</v>
      </c>
      <c r="J16" s="3">
        <f>E16*Doses!M14</f>
        <v>13.104000935239725</v>
      </c>
      <c r="K16" s="3">
        <f>F16*Doses!N14</f>
        <v>14.164185321489725</v>
      </c>
      <c r="L16" s="5">
        <f>G16*Doses!O14</f>
        <v>11.258346665901826</v>
      </c>
      <c r="M16" s="2">
        <f t="shared" si="30"/>
        <v>0.326972688105514</v>
      </c>
      <c r="N16" s="3">
        <f t="shared" si="31"/>
        <v>0.59630729969978369</v>
      </c>
      <c r="O16" s="3">
        <f t="shared" si="32"/>
        <v>0.48484803460387033</v>
      </c>
      <c r="P16" s="3">
        <f t="shared" si="33"/>
        <v>0.52407485689512034</v>
      </c>
      <c r="Q16" s="5">
        <f t="shared" si="34"/>
        <v>0.41655882663836796</v>
      </c>
    </row>
    <row r="17" spans="1:17">
      <c r="A17" s="82" t="s">
        <v>32</v>
      </c>
      <c r="B17" s="12" t="s">
        <v>50</v>
      </c>
      <c r="C17" s="127">
        <f>s_C*s_EFres*(1/365)*s_ETres*(1/24)*Isospec!M16*s_Fin*s_Fi*s_Fam*s_Foff*s_GSFb</f>
        <v>0</v>
      </c>
      <c r="D17" s="127">
        <f>s_C*s_EFres*(1/365)*s_ETres*(1/24)*Isospec!L16*s_Fin*s_Fi*s_Fam*s_Foff*s_GSFb</f>
        <v>0</v>
      </c>
      <c r="E17" s="127">
        <f>s_C*s_EFres*(1/365)*s_ETres*(1/24)*Isospec!N16*s_Fin*s_Fi*s_Fam*s_Foff*s_GSFb</f>
        <v>0</v>
      </c>
      <c r="F17" s="127">
        <f>s_C*s_EFres*(1/365)*s_ETres*(1/24)*Isospec!O16*s_Fin*s_Fi*s_Fam*s_Foff*s_GSFb</f>
        <v>0</v>
      </c>
      <c r="G17" s="127">
        <f>s_C*s_EFres*(1/365)*s_ETres*(1/24)*Isospec!P16*s_Fin*s_Fi*s_Fam*s_Foff*s_GSFb</f>
        <v>0</v>
      </c>
      <c r="H17" s="2">
        <f>C17*Doses!I15</f>
        <v>0</v>
      </c>
      <c r="I17" s="3">
        <f>D17*Doses!L15</f>
        <v>0</v>
      </c>
      <c r="J17" s="3">
        <f>E17*Doses!M15</f>
        <v>0</v>
      </c>
      <c r="K17" s="3">
        <f>F17*Doses!N15</f>
        <v>0</v>
      </c>
      <c r="L17" s="5">
        <f>G17*Doses!O15</f>
        <v>0</v>
      </c>
      <c r="M17" s="2">
        <f t="shared" ref="M17:M23" si="35">IFERROR(H17/s_1_bq,".")</f>
        <v>0</v>
      </c>
      <c r="N17" s="3">
        <f t="shared" ref="N17:N23" si="36">IFERROR(I17/s_1_bq,".")</f>
        <v>0</v>
      </c>
      <c r="O17" s="3">
        <f t="shared" ref="O17:O23" si="37">IFERROR(J17/s_1_bq,".")</f>
        <v>0</v>
      </c>
      <c r="P17" s="3">
        <f t="shared" ref="P17:P23" si="38">IFERROR(K17/s_1_bq,".")</f>
        <v>0</v>
      </c>
      <c r="Q17" s="5">
        <f t="shared" ref="Q17:Q23" si="39">IFERROR(L17/s_1_bq,".")</f>
        <v>0</v>
      </c>
    </row>
    <row r="18" spans="1:17">
      <c r="A18" s="82" t="s">
        <v>33</v>
      </c>
      <c r="B18" s="85" t="s">
        <v>50</v>
      </c>
      <c r="C18" s="127">
        <f>s_C*s_EFres*(1/365)*s_ETres*(1/24)*Isospec!M17*s_Fin*s_Fi*s_Fam*s_Foff*s_GSFb</f>
        <v>0.23417551960753427</v>
      </c>
      <c r="D18" s="127">
        <f>s_C*s_EFres*(1/365)*s_ETres*(1/24)*Isospec!L17*s_Fin*s_Fi*s_Fam*s_Foff*s_GSFb</f>
        <v>1.0626674207492008</v>
      </c>
      <c r="E18" s="127">
        <f>s_C*s_EFres*(1/365)*s_ETres*(1/24)*Isospec!N17*s_Fin*s_Fi*s_Fam*s_Foff*s_GSFb</f>
        <v>0.51922446083561646</v>
      </c>
      <c r="F18" s="127">
        <f>s_C*s_EFres*(1/365)*s_ETres*(1/24)*Isospec!O17*s_Fin*s_Fi*s_Fam*s_Foff*s_GSFb</f>
        <v>0.51353682279920099</v>
      </c>
      <c r="G18" s="127">
        <f>s_C*s_EFres*(1/365)*s_ETres*(1/24)*Isospec!P17*s_Fin*s_Fi*s_Fam*s_Foff*s_GSFb</f>
        <v>0.48258440928550222</v>
      </c>
      <c r="H18" s="2">
        <f>C18*Doses!I16</f>
        <v>1.1708775980376713</v>
      </c>
      <c r="I18" s="3">
        <f>D18*Doses!L16</f>
        <v>5.3133371037460044</v>
      </c>
      <c r="J18" s="3">
        <f>E18*Doses!M16</f>
        <v>2.5961223041780821</v>
      </c>
      <c r="K18" s="3">
        <f>F18*Doses!N16</f>
        <v>2.5676841139960049</v>
      </c>
      <c r="L18" s="5">
        <f>G18*Doses!O16</f>
        <v>2.4129220464275112</v>
      </c>
      <c r="M18" s="2">
        <f t="shared" si="35"/>
        <v>4.3322471127393881E-2</v>
      </c>
      <c r="N18" s="3">
        <f t="shared" si="36"/>
        <v>0.19659347283860237</v>
      </c>
      <c r="O18" s="3">
        <f t="shared" si="37"/>
        <v>9.6056525254589131E-2</v>
      </c>
      <c r="P18" s="3">
        <f t="shared" si="38"/>
        <v>9.5004312217852285E-2</v>
      </c>
      <c r="Q18" s="5">
        <f t="shared" si="39"/>
        <v>8.9278115717818005E-2</v>
      </c>
    </row>
    <row r="19" spans="1:17">
      <c r="A19" s="82" t="s">
        <v>34</v>
      </c>
      <c r="B19" s="85" t="s">
        <v>50</v>
      </c>
      <c r="C19" s="127">
        <f>s_C*s_EFres*(1/365)*s_ETres*(1/24)*Isospec!M18*s_Fin*s_Fi*s_Fam*s_Foff*s_GSFb</f>
        <v>1.4733687050273974</v>
      </c>
      <c r="D19" s="127">
        <f>s_C*s_EFres*(1/365)*s_ETres*(1/24)*Isospec!L18*s_Fin*s_Fi*s_Fam*s_Foff*s_GSFb</f>
        <v>1.7619354722762559</v>
      </c>
      <c r="E19" s="127">
        <f>s_C*s_EFres*(1/365)*s_ETres*(1/24)*Isospec!N18*s_Fin*s_Fi*s_Fam*s_Foff*s_GSFb</f>
        <v>1.8286115052031964</v>
      </c>
      <c r="F19" s="127">
        <f>s_C*s_EFres*(1/365)*s_ETres*(1/24)*Isospec!O18*s_Fin*s_Fi*s_Fam*s_Foff*s_GSFb</f>
        <v>1.805477479252283</v>
      </c>
      <c r="G19" s="127">
        <f>s_C*s_EFres*(1/365)*s_ETres*(1/24)*Isospec!P18*s_Fin*s_Fi*s_Fam*s_Foff*s_GSFb</f>
        <v>1.5450594192853881</v>
      </c>
      <c r="H19" s="2">
        <f>C19*Doses!I17</f>
        <v>7.3668435251369866</v>
      </c>
      <c r="I19" s="3">
        <f>D19*Doses!L17</f>
        <v>8.8096773613812793</v>
      </c>
      <c r="J19" s="3">
        <f>E19*Doses!M17</f>
        <v>9.1430575260159817</v>
      </c>
      <c r="K19" s="3">
        <f>F19*Doses!N17</f>
        <v>9.027387396261414</v>
      </c>
      <c r="L19" s="5">
        <f>G19*Doses!O17</f>
        <v>7.7252970964269405</v>
      </c>
      <c r="M19" s="2">
        <f t="shared" si="35"/>
        <v>0.27257321043006877</v>
      </c>
      <c r="N19" s="3">
        <f t="shared" si="36"/>
        <v>0.32595806237110764</v>
      </c>
      <c r="O19" s="3">
        <f t="shared" si="37"/>
        <v>0.33829312846259169</v>
      </c>
      <c r="P19" s="3">
        <f t="shared" si="38"/>
        <v>0.33401333366167263</v>
      </c>
      <c r="Q19" s="5">
        <f t="shared" si="39"/>
        <v>0.28583599256779707</v>
      </c>
    </row>
    <row r="20" spans="1:17">
      <c r="A20" s="82" t="s">
        <v>36</v>
      </c>
      <c r="B20" s="85" t="s">
        <v>50</v>
      </c>
      <c r="C20" s="127">
        <f>s_C*s_EFres*(1/365)*s_ETres*(1/24)*Isospec!M19*s_Fin*s_Fi*s_Fam*s_Foff*s_GSFb</f>
        <v>2.2570640789520548E-5</v>
      </c>
      <c r="D20" s="127">
        <f>s_C*s_EFres*(1/365)*s_ETres*(1/24)*Isospec!L19*s_Fin*s_Fi*s_Fam*s_Foff*s_GSFb</f>
        <v>1.4006258052454338E-5</v>
      </c>
      <c r="E20" s="127">
        <f>s_C*s_EFres*(1/365)*s_ETres*(1/24)*Isospec!N19*s_Fin*s_Fi*s_Fam*s_Foff*s_GSFb</f>
        <v>1.9462383474554795E-5</v>
      </c>
      <c r="F20" s="127">
        <f>s_C*s_EFres*(1/365)*s_ETres*(1/24)*Isospec!O19*s_Fin*s_Fi*s_Fam*s_Foff*s_GSFb</f>
        <v>1.9936491916552512E-5</v>
      </c>
      <c r="G20" s="127">
        <f>s_C*s_EFres*(1/365)*s_ETres*(1/24)*Isospec!P19*s_Fin*s_Fi*s_Fam*s_Foff*s_GSFb</f>
        <v>1.7298776936004565E-5</v>
      </c>
      <c r="H20" s="2">
        <f>C20*Doses!I18</f>
        <v>1.1285320394760274E-4</v>
      </c>
      <c r="I20" s="3">
        <f>D20*Doses!L18</f>
        <v>7.0031290262271691E-5</v>
      </c>
      <c r="J20" s="3">
        <f>E20*Doses!M18</f>
        <v>9.7311917372773981E-5</v>
      </c>
      <c r="K20" s="3">
        <f>F20*Doses!N18</f>
        <v>9.9682459582762565E-5</v>
      </c>
      <c r="L20" s="5">
        <f>G20*Doses!O18</f>
        <v>8.6493884680022829E-5</v>
      </c>
      <c r="M20" s="2">
        <f t="shared" si="35"/>
        <v>4.175568546061306E-6</v>
      </c>
      <c r="N20" s="3">
        <f t="shared" si="36"/>
        <v>2.591157739704055E-6</v>
      </c>
      <c r="O20" s="3">
        <f t="shared" si="37"/>
        <v>3.6005409427926409E-6</v>
      </c>
      <c r="P20" s="3">
        <f t="shared" si="38"/>
        <v>3.6882510045622186E-6</v>
      </c>
      <c r="Q20" s="5">
        <f t="shared" si="39"/>
        <v>3.2002737331608477E-6</v>
      </c>
    </row>
    <row r="21" spans="1:17">
      <c r="A21" s="82" t="s">
        <v>37</v>
      </c>
      <c r="B21" s="12" t="s">
        <v>50</v>
      </c>
      <c r="C21" s="127">
        <f>s_C*s_EFres*(1/365)*s_ETres*(1/24)*Isospec!M20*s_Fin*s_Fi*s_Fam*s_Foff*s_GSFb</f>
        <v>9.0121716419166667E-5</v>
      </c>
      <c r="D21" s="127">
        <f>s_C*s_EFres*(1/365)*s_ETres*(1/24)*Isospec!L20*s_Fin*s_Fi*s_Fam*s_Foff*s_GSFb</f>
        <v>5.8322721555422374E-5</v>
      </c>
      <c r="E21" s="127">
        <f>s_C*s_EFres*(1/365)*s_ETres*(1/24)*Isospec!N20*s_Fin*s_Fi*s_Fam*s_Foff*s_GSFb</f>
        <v>7.9446953509577621E-5</v>
      </c>
      <c r="F21" s="127">
        <f>s_C*s_EFres*(1/365)*s_ETres*(1/24)*Isospec!O20*s_Fin*s_Fi*s_Fam*s_Foff*s_GSFb</f>
        <v>8.1485171716792231E-5</v>
      </c>
      <c r="G21" s="127">
        <f>s_C*s_EFres*(1/365)*s_ETres*(1/24)*Isospec!P20*s_Fin*s_Fi*s_Fam*s_Foff*s_GSFb</f>
        <v>7.0128168789337897E-5</v>
      </c>
      <c r="H21" s="2">
        <f>C21*Doses!I19</f>
        <v>4.5060858209583336E-4</v>
      </c>
      <c r="I21" s="3">
        <f>D21*Doses!L19</f>
        <v>2.9161360777711187E-4</v>
      </c>
      <c r="J21" s="3">
        <f>E21*Doses!M19</f>
        <v>3.9723476754788809E-4</v>
      </c>
      <c r="K21" s="3">
        <f>F21*Doses!N19</f>
        <v>4.0742585858396114E-4</v>
      </c>
      <c r="L21" s="5">
        <f>G21*Doses!O19</f>
        <v>3.5064084394668949E-4</v>
      </c>
      <c r="M21" s="2">
        <f t="shared" si="35"/>
        <v>1.6672517537545851E-5</v>
      </c>
      <c r="N21" s="3">
        <f t="shared" si="36"/>
        <v>1.0789703487753149E-5</v>
      </c>
      <c r="O21" s="3">
        <f t="shared" si="37"/>
        <v>1.4697686399271875E-5</v>
      </c>
      <c r="P21" s="3">
        <f t="shared" si="38"/>
        <v>1.5074756767606578E-5</v>
      </c>
      <c r="Q21" s="5">
        <f t="shared" si="39"/>
        <v>1.2973711226027524E-5</v>
      </c>
    </row>
    <row r="22" spans="1:17">
      <c r="A22" s="82" t="s">
        <v>38</v>
      </c>
      <c r="B22" s="85" t="s">
        <v>50</v>
      </c>
      <c r="C22" s="127">
        <f>s_C*s_EFres*(1/365)*s_ETres*(1/24)*Isospec!M21*s_Fin*s_Fi*s_Fam*s_Foff*s_GSFb</f>
        <v>1.9412864013847032E-4</v>
      </c>
      <c r="D22" s="127">
        <f>s_C*s_EFres*(1/365)*s_ETres*(1/24)*Isospec!L21*s_Fin*s_Fi*s_Fam*s_Foff*s_GSFb</f>
        <v>1.2051034790704338E-4</v>
      </c>
      <c r="E22" s="127">
        <f>s_C*s_EFres*(1/365)*s_ETres*(1/24)*Isospec!N21*s_Fin*s_Fi*s_Fam*s_Foff*s_GSFb</f>
        <v>1.6747108738413244E-4</v>
      </c>
      <c r="F22" s="127">
        <f>s_C*s_EFres*(1/365)*s_ETres*(1/24)*Isospec!O21*s_Fin*s_Fi*s_Fam*s_Foff*s_GSFb</f>
        <v>1.7176554190194063E-4</v>
      </c>
      <c r="G22" s="127">
        <f>s_C*s_EFres*(1/365)*s_ETres*(1/24)*Isospec!P21*s_Fin*s_Fi*s_Fam*s_Foff*s_GSFb</f>
        <v>1.4894355333778538E-4</v>
      </c>
      <c r="H22" s="2">
        <f>C22*Doses!I20</f>
        <v>9.7064320069235161E-4</v>
      </c>
      <c r="I22" s="3">
        <f>D22*Doses!L20</f>
        <v>6.0255173953521692E-4</v>
      </c>
      <c r="J22" s="3">
        <f>E22*Doses!M20</f>
        <v>8.3735543692066222E-4</v>
      </c>
      <c r="K22" s="3">
        <f>F22*Doses!N20</f>
        <v>8.588277095097031E-4</v>
      </c>
      <c r="L22" s="5">
        <f>G22*Doses!O20</f>
        <v>7.4471776668892696E-4</v>
      </c>
      <c r="M22" s="2">
        <f t="shared" si="35"/>
        <v>3.5913798425617044E-5</v>
      </c>
      <c r="N22" s="3">
        <f t="shared" si="36"/>
        <v>2.2294414362803049E-5</v>
      </c>
      <c r="O22" s="3">
        <f t="shared" si="37"/>
        <v>3.0982151166064532E-5</v>
      </c>
      <c r="P22" s="3">
        <f t="shared" si="38"/>
        <v>3.1776625251859045E-5</v>
      </c>
      <c r="Q22" s="5">
        <f t="shared" si="39"/>
        <v>2.7554557367490324E-5</v>
      </c>
    </row>
    <row r="23" spans="1:17">
      <c r="A23" s="82" t="s">
        <v>39</v>
      </c>
      <c r="B23" s="85" t="s">
        <v>50</v>
      </c>
      <c r="C23" s="127">
        <f>s_C*s_EFres*(1/365)*s_ETres*(1/24)*Isospec!M22*s_Fin*s_Fi*s_Fam*s_Foff*s_GSFb</f>
        <v>0</v>
      </c>
      <c r="D23" s="127">
        <f>s_C*s_EFres*(1/365)*s_ETres*(1/24)*Isospec!L22*s_Fin*s_Fi*s_Fam*s_Foff*s_GSFb</f>
        <v>0</v>
      </c>
      <c r="E23" s="127">
        <f>s_C*s_EFres*(1/365)*s_ETres*(1/24)*Isospec!N22*s_Fin*s_Fi*s_Fam*s_Foff*s_GSFb</f>
        <v>0</v>
      </c>
      <c r="F23" s="127">
        <f>s_C*s_EFres*(1/365)*s_ETres*(1/24)*Isospec!O22*s_Fin*s_Fi*s_Fam*s_Foff*s_GSFb</f>
        <v>0</v>
      </c>
      <c r="G23" s="127">
        <f>s_C*s_EFres*(1/365)*s_ETres*(1/24)*Isospec!P22*s_Fin*s_Fi*s_Fam*s_Foff*s_GSFb</f>
        <v>0</v>
      </c>
      <c r="H23" s="2">
        <f>C23*Doses!I21</f>
        <v>0</v>
      </c>
      <c r="I23" s="3">
        <f>D23*Doses!L21</f>
        <v>0</v>
      </c>
      <c r="J23" s="3">
        <f>E23*Doses!M21</f>
        <v>0</v>
      </c>
      <c r="K23" s="3">
        <f>F23*Doses!N21</f>
        <v>0</v>
      </c>
      <c r="L23" s="5">
        <f>G23*Doses!O21</f>
        <v>0</v>
      </c>
      <c r="M23" s="2">
        <f t="shared" si="35"/>
        <v>0</v>
      </c>
      <c r="N23" s="3">
        <f t="shared" si="36"/>
        <v>0</v>
      </c>
      <c r="O23" s="3">
        <f t="shared" si="37"/>
        <v>0</v>
      </c>
      <c r="P23" s="3">
        <f t="shared" si="38"/>
        <v>0</v>
      </c>
      <c r="Q23" s="5">
        <f t="shared" si="39"/>
        <v>0</v>
      </c>
    </row>
    <row r="24" spans="1:17">
      <c r="A24" s="82" t="s">
        <v>26</v>
      </c>
      <c r="B24" s="12" t="s">
        <v>50</v>
      </c>
      <c r="C24" s="127">
        <f>s_C*s_EFres*(1/365)*s_ETres*(1/24)*Isospec!M23*s_Fin*s_Fi*s_Fam*s_Foff*s_GSFb</f>
        <v>1.0380164975499477</v>
      </c>
      <c r="D24" s="127">
        <f>s_C*s_EFres*(1/365)*s_ETres*(1/24)*Isospec!L23*s_Fin*s_Fi*s_Fam*s_Foff*s_GSFb</f>
        <v>0.92387600461084474</v>
      </c>
      <c r="E24" s="127">
        <f>s_C*s_EFres*(1/365)*s_ETres*(1/24)*Isospec!N23*s_Fin*s_Fi*s_Fam*s_Foff*s_GSFb</f>
        <v>0.58199190511050225</v>
      </c>
      <c r="F24" s="127">
        <f>s_C*s_EFres*(1/365)*s_ETres*(1/24)*Isospec!O23*s_Fin*s_Fi*s_Fam*s_Foff*s_GSFb</f>
        <v>0.61401573131061638</v>
      </c>
      <c r="G24" s="127">
        <f>s_C*s_EFres*(1/365)*s_ETres*(1/24)*Isospec!P23*s_Fin*s_Fi*s_Fam*s_Foff*s_GSFb</f>
        <v>0.55695550450079911</v>
      </c>
      <c r="H24" s="2">
        <f>C24*Doses!I22</f>
        <v>5.1900824877497387</v>
      </c>
      <c r="I24" s="3">
        <f>D24*Doses!L22</f>
        <v>4.6193800230542239</v>
      </c>
      <c r="J24" s="3">
        <f>E24*Doses!M22</f>
        <v>2.9099595255525115</v>
      </c>
      <c r="K24" s="3">
        <f>F24*Doses!N22</f>
        <v>3.0700786565530818</v>
      </c>
      <c r="L24" s="5">
        <f>G24*Doses!O22</f>
        <v>2.7847775225039957</v>
      </c>
      <c r="M24" s="2">
        <f t="shared" ref="M24:M25" si="40">IFERROR(H24/s_1_bq,".")</f>
        <v>0.19203305204674054</v>
      </c>
      <c r="N24" s="3">
        <f t="shared" ref="N24:N25" si="41">IFERROR(I24/s_1_bq,".")</f>
        <v>0.17091706085300645</v>
      </c>
      <c r="O24" s="3">
        <f t="shared" ref="O24:O25" si="42">IFERROR(J24/s_1_bq,".")</f>
        <v>0.10766850244544303</v>
      </c>
      <c r="P24" s="3">
        <f t="shared" ref="P24:P25" si="43">IFERROR(K24/s_1_bq,".")</f>
        <v>0.11359291029246414</v>
      </c>
      <c r="Q24" s="5">
        <f t="shared" ref="Q24:Q25" si="44">IFERROR(L24/s_1_bq,".")</f>
        <v>0.10303676833264794</v>
      </c>
    </row>
    <row r="25" spans="1:17">
      <c r="A25" s="83" t="s">
        <v>27</v>
      </c>
      <c r="B25" s="85" t="s">
        <v>44</v>
      </c>
      <c r="C25" s="127">
        <f>s_C*s_EFres*(1/365)*s_ETres*(1/24)*Isospec!M24*s_Fin*s_Fi*s_Fam*s_Foff*s_GSFb</f>
        <v>6.3118592438652962E-2</v>
      </c>
      <c r="D25" s="127">
        <f>s_C*s_EFres*(1/365)*s_ETres*(1/24)*Isospec!L24*s_Fin*s_Fi*s_Fam*s_Foff*s_GSFb</f>
        <v>1.254441395190677</v>
      </c>
      <c r="E25" s="127">
        <f>s_C*s_EFres*(1/365)*s_ETres*(1/24)*Isospec!N24*s_Fin*s_Fi*s_Fam*s_Foff*s_GSFb</f>
        <v>1.6296934316642682</v>
      </c>
      <c r="F25" s="127">
        <f>s_C*s_EFres*(1/365)*s_ETres*(1/24)*Isospec!O24*s_Fin*s_Fi*s_Fam*s_Foff*s_GSFb</f>
        <v>1.6009529326587122</v>
      </c>
      <c r="G25" s="127">
        <f>s_C*s_EFres*(1/365)*s_ETres*(1/24)*Isospec!P24*s_Fin*s_Fi*s_Fam*s_Foff*s_GSFb</f>
        <v>1.6952900242185605</v>
      </c>
      <c r="H25" s="2">
        <f>C25*Doses!I23</f>
        <v>0.31559296219326483</v>
      </c>
      <c r="I25" s="3">
        <f>D25*Doses!L23</f>
        <v>6.2722069759533845</v>
      </c>
      <c r="J25" s="3">
        <f>E25*Doses!M23</f>
        <v>8.1484671583213402</v>
      </c>
      <c r="K25" s="3">
        <f>F25*Doses!N23</f>
        <v>8.0047646632935603</v>
      </c>
      <c r="L25" s="5">
        <f>G25*Doses!O23</f>
        <v>8.4764501210928032</v>
      </c>
      <c r="M25" s="2">
        <f t="shared" si="40"/>
        <v>1.167693960115081E-2</v>
      </c>
      <c r="N25" s="3">
        <f t="shared" si="41"/>
        <v>0.23207165811027547</v>
      </c>
      <c r="O25" s="3">
        <f t="shared" si="42"/>
        <v>0.3014932848578899</v>
      </c>
      <c r="P25" s="3">
        <f t="shared" si="43"/>
        <v>0.29617629254186201</v>
      </c>
      <c r="Q25" s="5">
        <f t="shared" si="44"/>
        <v>0.31362865448043403</v>
      </c>
    </row>
    <row r="26" spans="1:17">
      <c r="A26" s="82" t="s">
        <v>30</v>
      </c>
      <c r="B26" s="85" t="s">
        <v>50</v>
      </c>
      <c r="C26" s="127">
        <f>s_C*s_EFres*(1/365)*s_ETres*(1/24)*Isospec!M25*s_Fin*s_Fi*s_Fam*s_Foff*s_GSFb</f>
        <v>2.1263984919783104E-3</v>
      </c>
      <c r="D26" s="127">
        <f>s_C*s_EFres*(1/365)*s_ETres*(1/24)*Isospec!L25*s_Fin*s_Fi*s_Fam*s_Foff*s_GSFb</f>
        <v>1.4833079033515981E-3</v>
      </c>
      <c r="E26" s="127">
        <f>s_C*s_EFres*(1/365)*s_ETres*(1/24)*Isospec!N25*s_Fin*s_Fi*s_Fam*s_Foff*s_GSFb</f>
        <v>2.0176361948378995E-3</v>
      </c>
      <c r="F26" s="127">
        <f>s_C*s_EFres*(1/365)*s_ETres*(1/24)*Isospec!O25*s_Fin*s_Fi*s_Fam*s_Foff*s_GSFb</f>
        <v>2.2139194126449772E-3</v>
      </c>
      <c r="G26" s="127">
        <f>s_C*s_EFres*(1/365)*s_ETres*(1/24)*Isospec!P25*s_Fin*s_Fi*s_Fam*s_Foff*s_GSFb</f>
        <v>1.7480854044349314E-3</v>
      </c>
      <c r="H26" s="2">
        <f>C26*Doses!I24</f>
        <v>1.0631992459891552E-2</v>
      </c>
      <c r="I26" s="3">
        <f>D26*Doses!L24</f>
        <v>7.4165395167579903E-3</v>
      </c>
      <c r="J26" s="3">
        <f>E26*Doses!M24</f>
        <v>1.0088180974189497E-2</v>
      </c>
      <c r="K26" s="3">
        <f>F26*Doses!N24</f>
        <v>1.1069597063224886E-2</v>
      </c>
      <c r="L26" s="5">
        <f>G26*Doses!O24</f>
        <v>8.7404270221746565E-3</v>
      </c>
      <c r="M26" s="2">
        <f t="shared" ref="M26" si="45">IFERROR(H26/s_1_bq,".")</f>
        <v>3.9338372101598782E-4</v>
      </c>
      <c r="N26" s="3">
        <f t="shared" ref="N26" si="46">IFERROR(I26/s_1_bq,".")</f>
        <v>2.7441196212004592E-4</v>
      </c>
      <c r="O26" s="3">
        <f t="shared" ref="O26" si="47">IFERROR(J26/s_1_bq,".")</f>
        <v>3.7326269604501174E-4</v>
      </c>
      <c r="P26" s="3">
        <f t="shared" ref="P26" si="48">IFERROR(K26/s_1_bq,".")</f>
        <v>4.0957509133932116E-4</v>
      </c>
      <c r="Q26" s="5">
        <f t="shared" ref="Q26" si="49">IFERROR(L26/s_1_bq,".")</f>
        <v>3.233957998204626E-4</v>
      </c>
    </row>
    <row r="27" spans="1:17">
      <c r="A27" s="83" t="s">
        <v>31</v>
      </c>
      <c r="B27" s="85" t="s">
        <v>44</v>
      </c>
      <c r="C27" s="127">
        <f>s_C*s_EFres*(1/365)*s_ETres*(1/24)*Isospec!M26*s_Fin*s_Fi*s_Fam*s_Foff*s_GSFb</f>
        <v>1.3232002747534247E-3</v>
      </c>
      <c r="D27" s="127">
        <f>s_C*s_EFres*(1/365)*s_ETres*(1/24)*Isospec!L26*s_Fin*s_Fi*s_Fam*s_Foff*s_GSFb</f>
        <v>9.3635426727785385E-4</v>
      </c>
      <c r="E27" s="127">
        <f>s_C*s_EFres*(1/365)*s_ETres*(1/24)*Isospec!N26*s_Fin*s_Fi*s_Fam*s_Foff*s_GSFb</f>
        <v>1.2244365330158675E-3</v>
      </c>
      <c r="F27" s="127">
        <f>s_C*s_EFres*(1/365)*s_ETres*(1/24)*Isospec!O26*s_Fin*s_Fi*s_Fam*s_Foff*s_GSFb</f>
        <v>1.4240730746803651E-3</v>
      </c>
      <c r="G27" s="127">
        <f>s_C*s_EFres*(1/365)*s_ETres*(1/24)*Isospec!P26*s_Fin*s_Fi*s_Fam*s_Foff*s_GSFb</f>
        <v>1.3278887707614156E-3</v>
      </c>
      <c r="H27" s="2">
        <f>C27*Doses!I25</f>
        <v>6.6160013737671238E-3</v>
      </c>
      <c r="I27" s="3">
        <f>D27*Doses!L25</f>
        <v>4.6817713363892692E-3</v>
      </c>
      <c r="J27" s="3">
        <f>E27*Doses!M25</f>
        <v>6.1221826650793374E-3</v>
      </c>
      <c r="K27" s="3">
        <f>F27*Doses!N25</f>
        <v>7.1203653734018251E-3</v>
      </c>
      <c r="L27" s="5">
        <f>G27*Doses!O25</f>
        <v>6.6394438538070781E-3</v>
      </c>
      <c r="M27" s="2">
        <f t="shared" ref="M27" si="50">IFERROR(H27/s_1_bq,".")</f>
        <v>2.4479205082938386E-4</v>
      </c>
      <c r="N27" s="3">
        <f t="shared" ref="N27" si="51">IFERROR(I27/s_1_bq,".")</f>
        <v>1.7322553944640312E-4</v>
      </c>
      <c r="O27" s="3">
        <f t="shared" ref="O27" si="52">IFERROR(J27/s_1_bq,".")</f>
        <v>2.2652075860793571E-4</v>
      </c>
      <c r="P27" s="3">
        <f t="shared" ref="P27" si="53">IFERROR(K27/s_1_bq,".")</f>
        <v>2.6345351881586779E-4</v>
      </c>
      <c r="Q27" s="5">
        <f t="shared" ref="Q27" si="54">IFERROR(L27/s_1_bq,".")</f>
        <v>2.4565942259086211E-4</v>
      </c>
    </row>
    <row r="28" spans="1:17">
      <c r="A28" s="82" t="s">
        <v>35</v>
      </c>
      <c r="B28" s="12" t="s">
        <v>50</v>
      </c>
      <c r="C28" s="127">
        <f>s_C*s_EFres*(1/365)*s_ETres*(1/24)*Isospec!M27*s_Fin*s_Fi*s_Fam*s_Foff*s_GSFb</f>
        <v>0.84648590333842788</v>
      </c>
      <c r="D28" s="127">
        <f>s_C*s_EFres*(1/365)*s_ETres*(1/24)*Isospec!L27*s_Fin*s_Fi*s_Fam*s_Foff*s_GSFb</f>
        <v>4.3839439486358449</v>
      </c>
      <c r="E28" s="127">
        <f>s_C*s_EFres*(1/365)*s_ETres*(1/24)*Isospec!N27*s_Fin*s_Fi*s_Fam*s_Foff*s_GSFb</f>
        <v>2.9188469966860731</v>
      </c>
      <c r="F28" s="127">
        <f>s_C*s_EFres*(1/365)*s_ETres*(1/24)*Isospec!O27*s_Fin*s_Fi*s_Fam*s_Foff*s_GSFb</f>
        <v>2.943436119199772</v>
      </c>
      <c r="G28" s="127">
        <f>s_C*s_EFres*(1/365)*s_ETres*(1/24)*Isospec!P27*s_Fin*s_Fi*s_Fam*s_Foff*s_GSFb</f>
        <v>2.5127193793744294</v>
      </c>
      <c r="H28" s="2">
        <f>C28*Doses!I26</f>
        <v>4.2324295166921395</v>
      </c>
      <c r="I28" s="3">
        <f>D28*Doses!L26</f>
        <v>21.919719743179225</v>
      </c>
      <c r="J28" s="3">
        <f>E28*Doses!M26</f>
        <v>14.594234983430365</v>
      </c>
      <c r="K28" s="3">
        <f>F28*Doses!N26</f>
        <v>14.71718059599886</v>
      </c>
      <c r="L28" s="5">
        <f>G28*Doses!O26</f>
        <v>12.563596896872147</v>
      </c>
      <c r="M28" s="2">
        <f t="shared" ref="M28:M31" si="55">IFERROR(H28/s_1_bq,".")</f>
        <v>0.15659989211760933</v>
      </c>
      <c r="N28" s="3">
        <f t="shared" ref="N28:N31" si="56">IFERROR(I28/s_1_bq,".")</f>
        <v>0.81102963049763221</v>
      </c>
      <c r="O28" s="3">
        <f t="shared" ref="O28:O31" si="57">IFERROR(J28/s_1_bq,".")</f>
        <v>0.53998669438692404</v>
      </c>
      <c r="P28" s="3">
        <f t="shared" ref="P28:P31" si="58">IFERROR(K28/s_1_bq,".")</f>
        <v>0.54453568205195835</v>
      </c>
      <c r="Q28" s="5">
        <f t="shared" ref="Q28:Q31" si="59">IFERROR(L28/s_1_bq,".")</f>
        <v>0.46485308518426988</v>
      </c>
    </row>
    <row r="29" spans="1:17">
      <c r="A29" s="82" t="s">
        <v>40</v>
      </c>
      <c r="B29" s="85" t="s">
        <v>50</v>
      </c>
      <c r="C29" s="127">
        <f>s_C*s_EFres*(1/365)*s_ETres*(1/24)*Isospec!M28*s_Fin*s_Fi*s_Fam*s_Foff*s_GSFb</f>
        <v>1.0567973337593608E-3</v>
      </c>
      <c r="D29" s="127">
        <f>s_C*s_EFres*(1/365)*s_ETres*(1/24)*Isospec!L28*s_Fin*s_Fi*s_Fam*s_Foff*s_GSFb</f>
        <v>2.3807013728264839E-3</v>
      </c>
      <c r="E29" s="127">
        <f>s_C*s_EFres*(1/365)*s_ETres*(1/24)*Isospec!N28*s_Fin*s_Fi*s_Fam*s_Foff*s_GSFb</f>
        <v>1.9257515662100457E-3</v>
      </c>
      <c r="F29" s="127">
        <f>s_C*s_EFres*(1/365)*s_ETres*(1/24)*Isospec!O28*s_Fin*s_Fi*s_Fam*s_Foff*s_GSFb</f>
        <v>1.5259635881027397E-3</v>
      </c>
      <c r="G29" s="127">
        <f>s_C*s_EFres*(1/365)*s_ETres*(1/24)*Isospec!P28*s_Fin*s_Fi*s_Fam*s_Foff*s_GSFb</f>
        <v>1.5987060728732876E-3</v>
      </c>
      <c r="H29" s="2">
        <f>C29*Doses!I27</f>
        <v>5.2839866687968036E-3</v>
      </c>
      <c r="I29" s="3">
        <f>D29*Doses!L27</f>
        <v>1.190350686413242E-2</v>
      </c>
      <c r="J29" s="3">
        <f>E29*Doses!M27</f>
        <v>9.6287578310502286E-3</v>
      </c>
      <c r="K29" s="3">
        <f>F29*Doses!N27</f>
        <v>7.6298179405136987E-3</v>
      </c>
      <c r="L29" s="5">
        <f>G29*Doses!O27</f>
        <v>7.9935303643664385E-3</v>
      </c>
      <c r="M29" s="2">
        <f t="shared" si="55"/>
        <v>1.9550750674548193E-4</v>
      </c>
      <c r="N29" s="3">
        <f t="shared" si="56"/>
        <v>4.4042975397289995E-4</v>
      </c>
      <c r="O29" s="3">
        <f t="shared" si="57"/>
        <v>3.5626403974885884E-4</v>
      </c>
      <c r="P29" s="3">
        <f t="shared" si="58"/>
        <v>2.8230326379900713E-4</v>
      </c>
      <c r="Q29" s="5">
        <f t="shared" si="59"/>
        <v>2.9576062348155854E-4</v>
      </c>
    </row>
    <row r="30" spans="1:17">
      <c r="A30" s="82" t="s">
        <v>41</v>
      </c>
      <c r="B30" s="12" t="s">
        <v>50</v>
      </c>
      <c r="C30" s="127">
        <f>s_C*s_EFres*(1/365)*s_ETres*(1/24)*Isospec!M29*s_Fin*s_Fi*s_Fam*s_Foff*s_GSFb</f>
        <v>4.4810667750913247</v>
      </c>
      <c r="D30" s="127">
        <f>s_C*s_EFres*(1/365)*s_ETres*(1/24)*Isospec!L29*s_Fin*s_Fi*s_Fam*s_Foff*s_GSFb</f>
        <v>4.1793600680936072</v>
      </c>
      <c r="E30" s="127">
        <f>s_C*s_EFres*(1/365)*s_ETres*(1/24)*Isospec!N29*s_Fin*s_Fi*s_Fam*s_Foff*s_GSFb</f>
        <v>5.112691878136987</v>
      </c>
      <c r="F30" s="127">
        <f>s_C*s_EFres*(1/365)*s_ETres*(1/24)*Isospec!O29*s_Fin*s_Fi*s_Fam*s_Foff*s_GSFb</f>
        <v>5.1410441163721465</v>
      </c>
      <c r="G30" s="127">
        <f>s_C*s_EFres*(1/365)*s_ETres*(1/24)*Isospec!P29*s_Fin*s_Fi*s_Fam*s_Foff*s_GSFb</f>
        <v>4.4366176089771692</v>
      </c>
      <c r="H30" s="2">
        <f>C30*Doses!I28</f>
        <v>22.405333875456623</v>
      </c>
      <c r="I30" s="3">
        <f>D30*Doses!L28</f>
        <v>20.896800340468037</v>
      </c>
      <c r="J30" s="3">
        <f>E30*Doses!M28</f>
        <v>25.563459390684933</v>
      </c>
      <c r="K30" s="3">
        <f>F30*Doses!N28</f>
        <v>25.705220581860733</v>
      </c>
      <c r="L30" s="5">
        <f>G30*Doses!O28</f>
        <v>22.183088044885846</v>
      </c>
      <c r="M30" s="2">
        <f t="shared" si="55"/>
        <v>0.82899735339189595</v>
      </c>
      <c r="N30" s="3">
        <f t="shared" si="56"/>
        <v>0.7731816125973181</v>
      </c>
      <c r="O30" s="3">
        <f t="shared" si="57"/>
        <v>0.94584799745534354</v>
      </c>
      <c r="P30" s="3">
        <f t="shared" si="58"/>
        <v>0.95109316152884804</v>
      </c>
      <c r="Q30" s="5">
        <f t="shared" si="59"/>
        <v>0.82077425766077716</v>
      </c>
    </row>
    <row r="31" spans="1:17">
      <c r="A31" s="82" t="s">
        <v>42</v>
      </c>
      <c r="B31" s="85" t="s">
        <v>50</v>
      </c>
      <c r="C31" s="127">
        <f>s_C*s_EFres*(1/365)*s_ETres*(1/24)*Isospec!M30*s_Fin*s_Fi*s_Fam*s_Foff*s_GSFb</f>
        <v>5.5489579785034238</v>
      </c>
      <c r="D31" s="127">
        <f>s_C*s_EFres*(1/365)*s_ETres*(1/24)*Isospec!L30*s_Fin*s_Fi*s_Fam*s_Foff*s_GSFb</f>
        <v>4.5695055501860731</v>
      </c>
      <c r="E31" s="127">
        <f>s_C*s_EFres*(1/365)*s_ETres*(1/24)*Isospec!N30*s_Fin*s_Fi*s_Fam*s_Foff*s_GSFb</f>
        <v>5.442835437605023</v>
      </c>
      <c r="F31" s="127">
        <f>s_C*s_EFres*(1/365)*s_ETres*(1/24)*Isospec!O30*s_Fin*s_Fi*s_Fam*s_Foff*s_GSFb</f>
        <v>5.5375233820399536</v>
      </c>
      <c r="G31" s="127">
        <f>s_C*s_EFres*(1/365)*s_ETres*(1/24)*Isospec!P30*s_Fin*s_Fi*s_Fam*s_Foff*s_GSFb</f>
        <v>4.7349541797865298</v>
      </c>
      <c r="H31" s="2">
        <f>C31*Doses!I29</f>
        <v>27.744789892517119</v>
      </c>
      <c r="I31" s="3">
        <f>D31*Doses!L29</f>
        <v>22.847527750930364</v>
      </c>
      <c r="J31" s="3">
        <f>E31*Doses!M29</f>
        <v>27.214177188025115</v>
      </c>
      <c r="K31" s="3">
        <f>F31*Doses!N29</f>
        <v>27.687616910199768</v>
      </c>
      <c r="L31" s="5">
        <f>G31*Doses!O29</f>
        <v>23.67477089893265</v>
      </c>
      <c r="M31" s="2">
        <f t="shared" si="55"/>
        <v>1.0265572260231344</v>
      </c>
      <c r="N31" s="3">
        <f t="shared" si="56"/>
        <v>0.84535852678442436</v>
      </c>
      <c r="O31" s="3">
        <f t="shared" si="57"/>
        <v>1.0069245559569302</v>
      </c>
      <c r="P31" s="3">
        <f t="shared" si="58"/>
        <v>1.0244418256773924</v>
      </c>
      <c r="Q31" s="5">
        <f t="shared" si="59"/>
        <v>0.87596652326050894</v>
      </c>
    </row>
    <row r="32" spans="1:17" ht="13.5" thickBot="1">
      <c r="A32" s="82" t="s">
        <v>25</v>
      </c>
      <c r="B32" s="12" t="s">
        <v>50</v>
      </c>
      <c r="C32" s="127">
        <f>s_C*s_EFres*(1/365)*s_ETres*(1/24)*Isospec!M31*s_Fin*s_Fi*s_Fam*s_Foff*s_GSFb</f>
        <v>0.78575424741830524</v>
      </c>
      <c r="D32" s="127">
        <f>s_C*s_EFres*(1/365)*s_ETres*(1/24)*Isospec!L31*s_Fin*s_Fi*s_Fam*s_Foff*s_GSFb</f>
        <v>0.22738111408105025</v>
      </c>
      <c r="E32" s="127">
        <f>s_C*s_EFres*(1/365)*s_ETres*(1/24)*Isospec!N31*s_Fin*s_Fi*s_Fam*s_Foff*s_GSFb</f>
        <v>0.11097511651542237</v>
      </c>
      <c r="F32" s="127">
        <f>s_C*s_EFres*(1/365)*s_ETres*(1/24)*Isospec!O31*s_Fin*s_Fi*s_Fam*s_Foff*s_GSFb</f>
        <v>0.13506737404931507</v>
      </c>
      <c r="G32" s="127">
        <f>s_C*s_EFres*(1/365)*s_ETres*(1/24)*Isospec!P31*s_Fin*s_Fi*s_Fam*s_Foff*s_GSFb</f>
        <v>0.10681335286115297</v>
      </c>
      <c r="H32" s="2">
        <f>C32*Doses!I30</f>
        <v>3.9287712370915262</v>
      </c>
      <c r="I32" s="3">
        <f>D32*Doses!L30</f>
        <v>1.1369055704052513</v>
      </c>
      <c r="J32" s="3">
        <f>E32*Doses!M30</f>
        <v>0.55487558257711189</v>
      </c>
      <c r="K32" s="3">
        <f>F32*Doses!N30</f>
        <v>0.6753368702465754</v>
      </c>
      <c r="L32" s="5">
        <f>G32*Doses!O30</f>
        <v>0.53406676430576483</v>
      </c>
      <c r="M32" s="2">
        <f t="shared" ref="M32" si="60">IFERROR(H32/s_1_bq,".")</f>
        <v>0.14536453577238662</v>
      </c>
      <c r="N32" s="3">
        <f t="shared" ref="N32" si="61">IFERROR(I32/s_1_bq,".")</f>
        <v>4.2065506104994342E-2</v>
      </c>
      <c r="O32" s="3">
        <f t="shared" ref="O32" si="62">IFERROR(J32/s_1_bq,".")</f>
        <v>2.0530396555353162E-2</v>
      </c>
      <c r="P32" s="3">
        <f t="shared" ref="P32" si="63">IFERROR(K32/s_1_bq,".")</f>
        <v>2.4987464199123316E-2</v>
      </c>
      <c r="Q32" s="5">
        <f t="shared" ref="Q32" si="64">IFERROR(L32/s_1_bq,".")</f>
        <v>1.9760470279313318E-2</v>
      </c>
    </row>
    <row r="33" spans="1:17" ht="15">
      <c r="A33" s="104" t="s">
        <v>14</v>
      </c>
      <c r="B33" s="104" t="s">
        <v>50</v>
      </c>
      <c r="C33" s="127"/>
      <c r="D33" s="127"/>
      <c r="E33" s="127"/>
      <c r="F33" s="127"/>
      <c r="G33" s="127"/>
      <c r="H33" s="105">
        <f>SUM(H34:H46)</f>
        <v>34.588468113499886</v>
      </c>
      <c r="I33" s="106">
        <f t="shared" ref="I33:L33" si="65">SUM(I34:I46)</f>
        <v>72.015575372778002</v>
      </c>
      <c r="J33" s="106">
        <f t="shared" si="65"/>
        <v>53.087892155096682</v>
      </c>
      <c r="K33" s="106">
        <f t="shared" si="65"/>
        <v>55.091114630828201</v>
      </c>
      <c r="L33" s="106">
        <f t="shared" si="65"/>
        <v>44.933485413335767</v>
      </c>
      <c r="M33" s="105">
        <f t="shared" ref="M33:M60" si="66">IFERROR(H33/s_1_bq,".")</f>
        <v>1.279773320199497</v>
      </c>
      <c r="N33" s="106">
        <f t="shared" ref="N33:N60" si="67">IFERROR(I33/s_1_bq,".")</f>
        <v>2.6645762887927886</v>
      </c>
      <c r="O33" s="106">
        <f t="shared" ref="O33:O60" si="68">IFERROR(J33/s_1_bq,".")</f>
        <v>1.9642520097385792</v>
      </c>
      <c r="P33" s="106">
        <f t="shared" ref="P33:P60" si="69">IFERROR(K33/s_1_bq,".")</f>
        <v>2.0383712413406454</v>
      </c>
      <c r="Q33" s="107">
        <f t="shared" ref="Q33:Q60" si="70">IFERROR(L33/s_1_bq,".")</f>
        <v>1.6625389602934251</v>
      </c>
    </row>
    <row r="34" spans="1:17" ht="15">
      <c r="A34" s="108" t="s">
        <v>137</v>
      </c>
      <c r="B34" s="109">
        <v>1</v>
      </c>
      <c r="C34" s="127"/>
      <c r="D34" s="127"/>
      <c r="E34" s="127"/>
      <c r="F34" s="127"/>
      <c r="G34" s="127"/>
      <c r="H34" s="110">
        <f>IFERROR(VLOOKUP("Am-241",$A$4:$Q$32,3)*VLOOKUP("Am-241",Doses!$A$1:$O$30,9)*$B34,0)</f>
        <v>2.9408843692865299</v>
      </c>
      <c r="I34" s="122">
        <f>IFERROR(VLOOKUP("Am-241",$A$4:$Q$32,4)*VLOOKUP("Am-241",Doses!$A$1:$O$30,12)*$B34,0)</f>
        <v>6.6763315407573973</v>
      </c>
      <c r="J34" s="122">
        <f>IFERROR(VLOOKUP("Am-241",$A$4:$Q$32,5)*VLOOKUP("Am-241",Doses!$A$1:$O$30,13)*$B34,0)</f>
        <v>6.8764453351355375</v>
      </c>
      <c r="K34" s="122">
        <f>IFERROR(VLOOKUP("Am-241",$A$4:$Q$32,6)*VLOOKUP("Am-241",Doses!$A$1:$O$30,14)*$B34,0)</f>
        <v>6.1959682265514395</v>
      </c>
      <c r="L34" s="122">
        <f>IFERROR(VLOOKUP("Am-241",$A$4:$Q$32,7)*VLOOKUP("Am-241",Doses!$A$1:$O$30,15)*$B34,0)</f>
        <v>3.9745693005260625</v>
      </c>
      <c r="M34" s="110">
        <f t="shared" si="66"/>
        <v>0.10881272166360172</v>
      </c>
      <c r="N34" s="122">
        <f t="shared" si="67"/>
        <v>0.24702426700802396</v>
      </c>
      <c r="O34" s="122">
        <f t="shared" si="68"/>
        <v>0.25442847740001512</v>
      </c>
      <c r="P34" s="122">
        <f t="shared" si="69"/>
        <v>0.22925082438240349</v>
      </c>
      <c r="Q34" s="112">
        <f t="shared" si="70"/>
        <v>0.14705906411946446</v>
      </c>
    </row>
    <row r="35" spans="1:17" ht="15">
      <c r="A35" s="108" t="s">
        <v>138</v>
      </c>
      <c r="B35" s="109">
        <v>1</v>
      </c>
      <c r="C35" s="127"/>
      <c r="D35" s="127"/>
      <c r="E35" s="127"/>
      <c r="F35" s="127"/>
      <c r="G35" s="127"/>
      <c r="H35" s="110">
        <f>IFERROR(VLOOKUP("Np-237",$A$4:$Q$32,3)*VLOOKUP("Np-237",Doses!$A$1:$O$31,9)*$B35,0)</f>
        <v>3.7470745504977163</v>
      </c>
      <c r="I35" s="122">
        <f>IFERROR(VLOOKUP("Np-237",$A$4:$Q$32,4)*VLOOKUP("Np-237",Doses!$A$1:$O$31,12)*$B35,0)</f>
        <v>12.61665123884703</v>
      </c>
      <c r="J35" s="122">
        <f>IFERROR(VLOOKUP("Np-237",$A$4:$Q$32,5)*VLOOKUP("Np-237",Doses!$A$1:$O$31,13)*$B35,0)</f>
        <v>7.3695228589897255</v>
      </c>
      <c r="K35" s="122">
        <f>IFERROR(VLOOKUP("Np-237",$A$4:$Q$32,6)*VLOOKUP("Np-237",Doses!$A$1:$O$31,14)*$B35,0)</f>
        <v>8.3447320593949765</v>
      </c>
      <c r="L35" s="122">
        <f>IFERROR(VLOOKUP("Np-237",$A$4:$Q$32,7)*VLOOKUP("Np-237",Doses!$A$1:$O$31,15)*$B35,0)</f>
        <v>7.0774030627968045</v>
      </c>
      <c r="M35" s="110">
        <f t="shared" si="66"/>
        <v>0.13864175836841564</v>
      </c>
      <c r="N35" s="122">
        <f t="shared" si="67"/>
        <v>0.46681609583734057</v>
      </c>
      <c r="O35" s="122">
        <f t="shared" si="68"/>
        <v>0.27267234578262012</v>
      </c>
      <c r="P35" s="122">
        <f t="shared" si="69"/>
        <v>0.30875508619761444</v>
      </c>
      <c r="Q35" s="112">
        <f t="shared" si="70"/>
        <v>0.26186391332348202</v>
      </c>
    </row>
    <row r="36" spans="1:17" ht="15">
      <c r="A36" s="108" t="s">
        <v>139</v>
      </c>
      <c r="B36" s="109">
        <v>1</v>
      </c>
      <c r="C36" s="127"/>
      <c r="D36" s="127"/>
      <c r="E36" s="127"/>
      <c r="F36" s="127"/>
      <c r="G36" s="127"/>
      <c r="H36" s="110">
        <f>IFERROR(VLOOKUP("Pa-233",$A$4:$Q$32,3)*VLOOKUP("Pa-233",Doses!$A$1:$O$32,9)*$B36,0)</f>
        <v>8.8370996785273963</v>
      </c>
      <c r="I36" s="122">
        <f>IFERROR(VLOOKUP("Pa-233",$A$4:$Q$32,4)*VLOOKUP("Pa-233",Doses!$A$1:$O$32,12)*$B36,0)</f>
        <v>16.116413505399542</v>
      </c>
      <c r="J36" s="122">
        <f>IFERROR(VLOOKUP("Pa-233",$A$4:$Q$32,5)*VLOOKUP("Pa-233",Doses!$A$1:$O$32,13)*$B36,0)</f>
        <v>13.104000935239725</v>
      </c>
      <c r="K36" s="122">
        <f>IFERROR(VLOOKUP("Pa-233",$A$4:$Q$32,6)*VLOOKUP("Pa-233",Doses!$A$1:$O$32,14)*$B36,0)</f>
        <v>14.164185321489725</v>
      </c>
      <c r="L36" s="122">
        <f>IFERROR(VLOOKUP("Pa-233",$A$4:$Q$32,7)*VLOOKUP("Pa-233",Doses!$A$1:$O$32,15)*$B36,0)</f>
        <v>11.258346665901826</v>
      </c>
      <c r="M36" s="110">
        <f t="shared" si="66"/>
        <v>0.326972688105514</v>
      </c>
      <c r="N36" s="122">
        <f t="shared" si="67"/>
        <v>0.59630729969978369</v>
      </c>
      <c r="O36" s="122">
        <f t="shared" si="68"/>
        <v>0.48484803460387033</v>
      </c>
      <c r="P36" s="122">
        <f t="shared" si="69"/>
        <v>0.52407485689512034</v>
      </c>
      <c r="Q36" s="112">
        <f t="shared" si="70"/>
        <v>0.41655882663836796</v>
      </c>
    </row>
    <row r="37" spans="1:17" ht="15">
      <c r="A37" s="108" t="s">
        <v>140</v>
      </c>
      <c r="B37" s="109">
        <v>1</v>
      </c>
      <c r="C37" s="127"/>
      <c r="D37" s="127"/>
      <c r="E37" s="127"/>
      <c r="F37" s="127"/>
      <c r="G37" s="127"/>
      <c r="H37" s="110">
        <f>IFERROR(VLOOKUP("U-233",$A$4:$Q$32,3)*VLOOKUP("U-233",Doses!$A$1:$O$33,9)*$B37,0)</f>
        <v>3.9287712370915262</v>
      </c>
      <c r="I37" s="122">
        <f>IFERROR(VLOOKUP("U-233",$A$4:$Q$32,4)*VLOOKUP("U-233",Doses!$A$1:$O$33,12)*$B37,0)</f>
        <v>1.1369055704052513</v>
      </c>
      <c r="J37" s="122">
        <f>IFERROR(VLOOKUP("U-233",$A$4:$Q$32,5)*VLOOKUP("U-233",Doses!$A$1:$O$33,13)*$B37,0)</f>
        <v>0.55487558257711189</v>
      </c>
      <c r="K37" s="122">
        <f>IFERROR(VLOOKUP("U-233",$A$4:$Q$32,6)*VLOOKUP("U-233",Doses!$A$1:$O$33,14)*$B37,0)</f>
        <v>0.6753368702465754</v>
      </c>
      <c r="L37" s="122">
        <f>IFERROR(VLOOKUP("U-233",$A$4:$Q$32,7)*VLOOKUP("U-233",Doses!$A$1:$O$33,15)*$B37,0)</f>
        <v>0.53406676430576483</v>
      </c>
      <c r="M37" s="110">
        <f t="shared" si="66"/>
        <v>0.14536453577238662</v>
      </c>
      <c r="N37" s="122">
        <f t="shared" si="67"/>
        <v>4.2065506104994342E-2</v>
      </c>
      <c r="O37" s="122">
        <f t="shared" si="68"/>
        <v>2.0530396555353162E-2</v>
      </c>
      <c r="P37" s="122">
        <f t="shared" si="69"/>
        <v>2.4987464199123316E-2</v>
      </c>
      <c r="Q37" s="112">
        <f t="shared" si="70"/>
        <v>1.9760470279313318E-2</v>
      </c>
    </row>
    <row r="38" spans="1:17" ht="15">
      <c r="A38" s="108" t="s">
        <v>141</v>
      </c>
      <c r="B38" s="109">
        <v>1</v>
      </c>
      <c r="C38" s="127"/>
      <c r="D38" s="127"/>
      <c r="E38" s="127"/>
      <c r="F38" s="127"/>
      <c r="G38" s="127"/>
      <c r="H38" s="110">
        <f>IFERROR(VLOOKUP("Th-229",$A$4:$Q$32,3)*VLOOKUP("Th-229",Doses!$A$1:$O$34,9)*$B38,0)</f>
        <v>4.2324295166921395</v>
      </c>
      <c r="I38" s="122">
        <f>IFERROR(VLOOKUP("Th-229",$A$4:$Q$32,4)*VLOOKUP("Th-229",Doses!$A$1:$O$34,12)*$B38,0)</f>
        <v>21.919719743179225</v>
      </c>
      <c r="J38" s="122">
        <f>IFERROR(VLOOKUP("Th-229",$A$4:$Q$32,5)*VLOOKUP("Th-229",Doses!$A$1:$O$34,13)*$B38,0)</f>
        <v>14.594234983430365</v>
      </c>
      <c r="K38" s="122">
        <f>IFERROR(VLOOKUP("Th-229",$A$4:$Q$32,6)*VLOOKUP("Th-229",Doses!$A$1:$O$34,14)*$B38,0)</f>
        <v>14.71718059599886</v>
      </c>
      <c r="L38" s="122">
        <f>IFERROR(VLOOKUP("Th-229",$A$4:$Q$32,7)*VLOOKUP("Th-229",Doses!$A$1:$O$34,15)*$B38,0)</f>
        <v>12.563596896872147</v>
      </c>
      <c r="M38" s="110">
        <f t="shared" si="66"/>
        <v>0.15659989211760933</v>
      </c>
      <c r="N38" s="122">
        <f t="shared" si="67"/>
        <v>0.81102963049763221</v>
      </c>
      <c r="O38" s="122">
        <f t="shared" si="68"/>
        <v>0.53998669438692404</v>
      </c>
      <c r="P38" s="122">
        <f t="shared" si="69"/>
        <v>0.54453568205195835</v>
      </c>
      <c r="Q38" s="112">
        <f t="shared" si="70"/>
        <v>0.46485308518426988</v>
      </c>
    </row>
    <row r="39" spans="1:17" ht="15">
      <c r="A39" s="108" t="s">
        <v>142</v>
      </c>
      <c r="B39" s="109">
        <v>1</v>
      </c>
      <c r="C39" s="127"/>
      <c r="D39" s="127"/>
      <c r="E39" s="127"/>
      <c r="F39" s="127"/>
      <c r="G39" s="127"/>
      <c r="H39" s="110">
        <f>IFERROR(VLOOKUP("Ra-225",$A$4:$Q$32,3)*VLOOKUP("Ra-225",Doses!$A$1:$O$35,9)*$B39,0)</f>
        <v>5.1900824877497387</v>
      </c>
      <c r="I39" s="122">
        <f>IFERROR(VLOOKUP("Ra-225",$A$4:$Q$32,4)*VLOOKUP("Ra-225",Doses!$A$1:$O$35,12)*$B39,0)</f>
        <v>4.6193800230542239</v>
      </c>
      <c r="J39" s="122">
        <f>IFERROR(VLOOKUP("Ra-225",$A$4:$Q$32,5)*VLOOKUP("Ra-225",Doses!$A$1:$O$35,13)*$B39,0)</f>
        <v>2.9099595255525115</v>
      </c>
      <c r="K39" s="122">
        <f>IFERROR(VLOOKUP("Ra-225",$A$4:$Q$32,6)*VLOOKUP("Ra-225",Doses!$A$1:$O$35,14)*$B39,0)</f>
        <v>3.0700786565530818</v>
      </c>
      <c r="L39" s="122">
        <f>IFERROR(VLOOKUP("Ra-225",$A$4:$Q$32,7)*VLOOKUP("Ra-225",Doses!$A$1:$O$35,15)*$B39,0)</f>
        <v>2.7847775225039957</v>
      </c>
      <c r="M39" s="110">
        <f t="shared" si="66"/>
        <v>0.19203305204674054</v>
      </c>
      <c r="N39" s="122">
        <f t="shared" si="67"/>
        <v>0.17091706085300645</v>
      </c>
      <c r="O39" s="122">
        <f t="shared" si="68"/>
        <v>0.10766850244544303</v>
      </c>
      <c r="P39" s="122">
        <f t="shared" si="69"/>
        <v>0.11359291029246414</v>
      </c>
      <c r="Q39" s="112">
        <f t="shared" si="70"/>
        <v>0.10303676833264794</v>
      </c>
    </row>
    <row r="40" spans="1:17" ht="15">
      <c r="A40" s="108" t="s">
        <v>143</v>
      </c>
      <c r="B40" s="109">
        <v>1</v>
      </c>
      <c r="C40" s="127"/>
      <c r="D40" s="127"/>
      <c r="E40" s="127"/>
      <c r="F40" s="127"/>
      <c r="G40" s="127"/>
      <c r="H40" s="110">
        <f>IFERROR(VLOOKUP("Ac-225",$A$4:$Q$32,3)*VLOOKUP("Ac-225",Doses!$A$1:$O$36,9)*$B40,0)</f>
        <v>1.5045013535913243</v>
      </c>
      <c r="I40" s="122">
        <f>IFERROR(VLOOKUP("Ac-225",$A$4:$Q$32,4)*VLOOKUP("Ac-225",Doses!$A$1:$O$36,12)*$B40,0)</f>
        <v>4.7420958566289952</v>
      </c>
      <c r="J40" s="122">
        <f>IFERROR(VLOOKUP("Ac-225",$A$4:$Q$32,5)*VLOOKUP("Ac-225",Doses!$A$1:$O$36,13)*$B40,0)</f>
        <v>2.8529341895108447</v>
      </c>
      <c r="K40" s="122">
        <f>IFERROR(VLOOKUP("Ac-225",$A$4:$Q$32,6)*VLOOKUP("Ac-225",Doses!$A$1:$O$36,14)*$B40,0)</f>
        <v>2.9886344023978313</v>
      </c>
      <c r="L40" s="122">
        <f>IFERROR(VLOOKUP("Ac-225",$A$4:$Q$32,7)*VLOOKUP("Ac-225",Doses!$A$1:$O$36,15)*$B40,0)</f>
        <v>2.5242158142089037</v>
      </c>
      <c r="M40" s="110">
        <f t="shared" si="66"/>
        <v>5.5666550082879053E-2</v>
      </c>
      <c r="N40" s="122">
        <f t="shared" si="67"/>
        <v>0.175457546695273</v>
      </c>
      <c r="O40" s="122">
        <f t="shared" si="68"/>
        <v>0.10555856501190136</v>
      </c>
      <c r="P40" s="122">
        <f t="shared" si="69"/>
        <v>0.11057947288871987</v>
      </c>
      <c r="Q40" s="112">
        <f t="shared" si="70"/>
        <v>9.3395985125729539E-2</v>
      </c>
    </row>
    <row r="41" spans="1:17" ht="15">
      <c r="A41" s="108" t="s">
        <v>144</v>
      </c>
      <c r="B41" s="109">
        <v>1</v>
      </c>
      <c r="C41" s="127"/>
      <c r="D41" s="127"/>
      <c r="E41" s="127"/>
      <c r="F41" s="127"/>
      <c r="G41" s="127"/>
      <c r="H41" s="110">
        <f>IFERROR(VLOOKUP("Fr-221",$A$4:$Q$32,3)*VLOOKUP("Fr-221",Doses!$A$1:$O$37,9)*$B41,0)</f>
        <v>1.1307883474149543</v>
      </c>
      <c r="I41" s="122">
        <f>IFERROR(VLOOKUP("Fr-221",$A$4:$Q$32,4)*VLOOKUP("Fr-221",Doses!$A$1:$O$37,12)*$B41,0)</f>
        <v>1.4757736445393834</v>
      </c>
      <c r="J41" s="122">
        <f>IFERROR(VLOOKUP("Fr-221",$A$4:$Q$32,5)*VLOOKUP("Fr-221",Doses!$A$1:$O$37,13)*$B41,0)</f>
        <v>1.611217146</v>
      </c>
      <c r="K41" s="122">
        <f>IFERROR(VLOOKUP("Fr-221",$A$4:$Q$32,6)*VLOOKUP("Fr-221",Doses!$A$1:$O$37,14)*$B41,0)</f>
        <v>1.499159580724315</v>
      </c>
      <c r="L41" s="122">
        <f>IFERROR(VLOOKUP("Fr-221",$A$4:$Q$32,7)*VLOOKUP("Fr-221",Doses!$A$1:$O$37,15)*$B41,0)</f>
        <v>1.2299156217973746</v>
      </c>
      <c r="M41" s="110">
        <f t="shared" si="66"/>
        <v>4.1839168854353348E-2</v>
      </c>
      <c r="N41" s="122">
        <f t="shared" si="67"/>
        <v>5.4603624847957243E-2</v>
      </c>
      <c r="O41" s="122">
        <f t="shared" si="68"/>
        <v>5.9615034402000062E-2</v>
      </c>
      <c r="P41" s="122">
        <f t="shared" si="69"/>
        <v>5.5468904486799711E-2</v>
      </c>
      <c r="Q41" s="112">
        <f t="shared" si="70"/>
        <v>4.5506878006502903E-2</v>
      </c>
    </row>
    <row r="42" spans="1:17" ht="15">
      <c r="A42" s="108" t="s">
        <v>145</v>
      </c>
      <c r="B42" s="109">
        <v>1</v>
      </c>
      <c r="C42" s="127"/>
      <c r="D42" s="127"/>
      <c r="E42" s="127"/>
      <c r="F42" s="127"/>
      <c r="G42" s="127"/>
      <c r="H42" s="110">
        <f>IFERROR(VLOOKUP("At-217",$A$4:$Q$32,3)*VLOOKUP("At-217",Doses!$A$1:$O$38,9)*$B42,0)</f>
        <v>7.9655713204908676E-3</v>
      </c>
      <c r="I42" s="122">
        <f>IFERROR(VLOOKUP("At-217",$A$4:$Q$32,4)*VLOOKUP("At-217",Doses!$A$1:$O$38,12)*$B42,0)</f>
        <v>9.3147771950285382E-3</v>
      </c>
      <c r="J42" s="122">
        <f>IFERROR(VLOOKUP("At-217",$A$4:$Q$32,5)*VLOOKUP("At-217",Doses!$A$1:$O$38,13)*$B42,0)</f>
        <v>9.8472603337442927E-3</v>
      </c>
      <c r="K42" s="122">
        <f>IFERROR(VLOOKUP("At-217",$A$4:$Q$32,6)*VLOOKUP("At-217",Doses!$A$1:$O$38,14)*$B42,0)</f>
        <v>9.394071992990867E-3</v>
      </c>
      <c r="L42" s="122">
        <f>IFERROR(VLOOKUP("At-217",$A$4:$Q$32,7)*VLOOKUP("At-217",Doses!$A$1:$O$38,15)*$B42,0)</f>
        <v>8.4170936045091325E-3</v>
      </c>
      <c r="M42" s="110">
        <f t="shared" si="66"/>
        <v>2.9472613885816242E-4</v>
      </c>
      <c r="N42" s="122">
        <f t="shared" si="67"/>
        <v>3.4464675621605624E-4</v>
      </c>
      <c r="O42" s="122">
        <f t="shared" si="68"/>
        <v>3.6434863234853922E-4</v>
      </c>
      <c r="P42" s="122">
        <f t="shared" si="69"/>
        <v>3.4758066374066242E-4</v>
      </c>
      <c r="Q42" s="112">
        <f t="shared" si="70"/>
        <v>3.1143246336683822E-4</v>
      </c>
    </row>
    <row r="43" spans="1:17" ht="15">
      <c r="A43" s="108" t="s">
        <v>146</v>
      </c>
      <c r="B43" s="113">
        <v>0.99987999999999999</v>
      </c>
      <c r="C43" s="127"/>
      <c r="D43" s="127"/>
      <c r="E43" s="127"/>
      <c r="F43" s="127"/>
      <c r="G43" s="127"/>
      <c r="H43" s="110">
        <f>IFERROR(VLOOKUP("Bi-213",$A$4:$Q$32,3)*VLOOKUP("Bi-213",Doses!$A$1:$O$39,9)*$B43,0)</f>
        <v>2.6002145779885599</v>
      </c>
      <c r="I43" s="122">
        <f>IFERROR(VLOOKUP("Bi-213",$A$4:$Q$32,4)*VLOOKUP("Bi-213",Doses!$A$1:$O$39,12)*$B43,0)</f>
        <v>2.2660132702102822</v>
      </c>
      <c r="J43" s="122">
        <f>IFERROR(VLOOKUP("Bi-213",$A$4:$Q$32,5)*VLOOKUP("Bi-213",Doses!$A$1:$O$39,13)*$B43,0)</f>
        <v>2.6702532643289589</v>
      </c>
      <c r="K43" s="122">
        <f>IFERROR(VLOOKUP("Bi-213",$A$4:$Q$32,6)*VLOOKUP("Bi-213",Doses!$A$1:$O$39,14)*$B43,0)</f>
        <v>2.8888713412218712</v>
      </c>
      <c r="L43" s="122">
        <f>IFERROR(VLOOKUP("Bi-213",$A$4:$Q$32,7)*VLOOKUP("Bi-213",Doses!$A$1:$O$39,15)*$B43,0)</f>
        <v>2.514262494612268</v>
      </c>
      <c r="M43" s="110">
        <f t="shared" si="66"/>
        <v>9.6207939385576813E-2</v>
      </c>
      <c r="N43" s="122">
        <f t="shared" si="67"/>
        <v>8.384249099778053E-2</v>
      </c>
      <c r="O43" s="122">
        <f t="shared" si="68"/>
        <v>9.8799370780171578E-2</v>
      </c>
      <c r="P43" s="122">
        <f t="shared" si="69"/>
        <v>0.10688823962520934</v>
      </c>
      <c r="Q43" s="112">
        <f t="shared" si="70"/>
        <v>9.3027712300654014E-2</v>
      </c>
    </row>
    <row r="44" spans="1:17" ht="15">
      <c r="A44" s="108" t="s">
        <v>147</v>
      </c>
      <c r="B44" s="109">
        <v>0.97898250799999997</v>
      </c>
      <c r="C44" s="127"/>
      <c r="D44" s="127"/>
      <c r="E44" s="127"/>
      <c r="F44" s="127"/>
      <c r="G44" s="127"/>
      <c r="H44" s="110">
        <f>IFERROR(VLOOKUP("Po-213",$A$4:$Q$32,3)*VLOOKUP("Po-213",Doses!$A$1:$O$40,9)*$B44,0)</f>
        <v>4.4113791982650281E-4</v>
      </c>
      <c r="I44" s="122">
        <f>IFERROR(VLOOKUP("Po-213",$A$4:$Q$32,4)*VLOOKUP("Po-213",Doses!$A$1:$O$40,12)*$B44,0)</f>
        <v>2.8548462110856526E-4</v>
      </c>
      <c r="J44" s="122">
        <f>IFERROR(VLOOKUP("Po-213",$A$4:$Q$32,5)*VLOOKUP("Po-213",Doses!$A$1:$O$40,13)*$B44,0)</f>
        <v>3.8888588899882849E-4</v>
      </c>
      <c r="K44" s="122">
        <f>IFERROR(VLOOKUP("Po-213",$A$4:$Q$32,6)*VLOOKUP("Po-213",Doses!$A$1:$O$40,14)*$B44,0)</f>
        <v>3.9886278886057961E-4</v>
      </c>
      <c r="L44" s="122">
        <f>IFERROR(VLOOKUP("Po-213",$A$4:$Q$32,7)*VLOOKUP("Po-213",Doses!$A$1:$O$40,15)*$B44,0)</f>
        <v>3.4327125281416671E-4</v>
      </c>
      <c r="M44" s="110">
        <f t="shared" si="66"/>
        <v>1.632210303358062E-5</v>
      </c>
      <c r="N44" s="122">
        <f t="shared" si="67"/>
        <v>1.0562930981016926E-5</v>
      </c>
      <c r="O44" s="122">
        <f t="shared" si="68"/>
        <v>1.4388777892956669E-5</v>
      </c>
      <c r="P44" s="122">
        <f t="shared" si="69"/>
        <v>1.475792318784146E-5</v>
      </c>
      <c r="Q44" s="112">
        <f t="shared" si="70"/>
        <v>1.2701036354124181E-5</v>
      </c>
    </row>
    <row r="45" spans="1:17" ht="15">
      <c r="A45" s="108" t="s">
        <v>148</v>
      </c>
      <c r="B45" s="109">
        <v>2.0897492E-2</v>
      </c>
      <c r="C45" s="127"/>
      <c r="D45" s="127"/>
      <c r="E45" s="127"/>
      <c r="F45" s="127"/>
      <c r="G45" s="127"/>
      <c r="H45" s="110">
        <f>IFERROR(VLOOKUP("Tl-209",$A$4:$Q$32,3)*VLOOKUP("Tl-209",Doses!$A$1:$O$41,9)*$B45,0)</f>
        <v>0.46821528541968377</v>
      </c>
      <c r="I45" s="122">
        <f>IFERROR(VLOOKUP("Tl-209",$A$4:$Q$32,4)*VLOOKUP("Tl-209",Doses!$A$1:$O$41,12)*$B45,0)</f>
        <v>0.43669071794052805</v>
      </c>
      <c r="J45" s="122">
        <f>IFERROR(VLOOKUP("Tl-209",$A$4:$Q$32,5)*VLOOKUP("Tl-209",Doses!$A$1:$O$41,13)*$B45,0)</f>
        <v>0.53421218810916327</v>
      </c>
      <c r="K45" s="122">
        <f>IFERROR(VLOOKUP("Tl-209",$A$4:$Q$32,6)*VLOOKUP("Tl-209",Doses!$A$1:$O$41,14)*$B45,0)</f>
        <v>0.53717464146767002</v>
      </c>
      <c r="L45" s="122">
        <f>IFERROR(VLOOKUP("Tl-209",$A$4:$Q$32,7)*VLOOKUP("Tl-209",Doses!$A$1:$O$41,15)*$B45,0)</f>
        <v>0.46357090495329761</v>
      </c>
      <c r="M45" s="110">
        <f t="shared" si="66"/>
        <v>1.7323965560528318E-2</v>
      </c>
      <c r="N45" s="122">
        <f t="shared" si="67"/>
        <v>1.6157556563799556E-2</v>
      </c>
      <c r="O45" s="122">
        <f t="shared" si="68"/>
        <v>1.976585096003906E-2</v>
      </c>
      <c r="P45" s="122">
        <f t="shared" si="69"/>
        <v>1.9875461734303809E-2</v>
      </c>
      <c r="Q45" s="112">
        <f t="shared" si="70"/>
        <v>1.7152123483272028E-2</v>
      </c>
    </row>
    <row r="46" spans="1:17" ht="15">
      <c r="A46" s="108" t="s">
        <v>149</v>
      </c>
      <c r="B46" s="109">
        <v>0.99987999999999999</v>
      </c>
      <c r="C46" s="127"/>
      <c r="D46" s="127"/>
      <c r="E46" s="127"/>
      <c r="F46" s="127"/>
      <c r="G46" s="127"/>
      <c r="H46" s="110">
        <f>IFERROR(VLOOKUP("Pb-209",$A$4:$Q$32,3)*VLOOKUP("Pb-209",Doses!$A$1:$O$42,9)*$B46,0)</f>
        <v>0</v>
      </c>
      <c r="I46" s="122">
        <f>IFERROR(VLOOKUP("Pb-209",$A$4:$Q$32,4)*VLOOKUP("Pb-209",Doses!$A$1:$O$42,12)*$B46,0)</f>
        <v>0</v>
      </c>
      <c r="J46" s="122">
        <f>IFERROR(VLOOKUP("Pb-209",$A$4:$Q$32,5)*VLOOKUP("Pb-209",Doses!$A$1:$O$42,13)*$B46,0)</f>
        <v>0</v>
      </c>
      <c r="K46" s="122">
        <f>IFERROR(VLOOKUP("Pb-209",$A$4:$Q$32,6)*VLOOKUP("Pb-209",Doses!$A$1:$O$42,14)*$B46,0)</f>
        <v>0</v>
      </c>
      <c r="L46" s="122">
        <f>IFERROR(VLOOKUP("Pb-209",$A$4:$Q$32,7)*VLOOKUP("Pb-209",Doses!$A$1:$O$42,15)*$B46,0)</f>
        <v>0</v>
      </c>
      <c r="M46" s="110">
        <f t="shared" si="66"/>
        <v>0</v>
      </c>
      <c r="N46" s="122">
        <f t="shared" si="67"/>
        <v>0</v>
      </c>
      <c r="O46" s="122">
        <f t="shared" si="68"/>
        <v>0</v>
      </c>
      <c r="P46" s="122">
        <f t="shared" si="69"/>
        <v>0</v>
      </c>
      <c r="Q46" s="112">
        <f t="shared" si="70"/>
        <v>0</v>
      </c>
    </row>
    <row r="47" spans="1:17" ht="15">
      <c r="A47" s="104" t="s">
        <v>17</v>
      </c>
      <c r="B47" s="104" t="s">
        <v>50</v>
      </c>
      <c r="C47" s="127"/>
      <c r="D47" s="127"/>
      <c r="E47" s="127"/>
      <c r="F47" s="127"/>
      <c r="G47" s="127"/>
      <c r="H47" s="114">
        <f>SUM(H48:H49)</f>
        <v>7.4616579296578003</v>
      </c>
      <c r="I47" s="121">
        <f t="shared" ref="I47:L47" si="71">SUM(I48:I49)</f>
        <v>12.529682695629299</v>
      </c>
      <c r="J47" s="121">
        <f t="shared" si="71"/>
        <v>16.083010261458647</v>
      </c>
      <c r="K47" s="121">
        <f t="shared" si="71"/>
        <v>16.245496265462272</v>
      </c>
      <c r="L47" s="121">
        <f t="shared" si="71"/>
        <v>17.749926643510989</v>
      </c>
      <c r="M47" s="114">
        <f t="shared" si="66"/>
        <v>0.27608134339733886</v>
      </c>
      <c r="N47" s="121">
        <f t="shared" si="67"/>
        <v>0.46359825973828456</v>
      </c>
      <c r="O47" s="121">
        <f t="shared" si="68"/>
        <v>0.5950713796739705</v>
      </c>
      <c r="P47" s="121">
        <f t="shared" si="69"/>
        <v>0.60108336182210464</v>
      </c>
      <c r="Q47" s="116">
        <f t="shared" si="70"/>
        <v>0.65674728580990727</v>
      </c>
    </row>
    <row r="48" spans="1:17" ht="15">
      <c r="A48" s="108" t="s">
        <v>150</v>
      </c>
      <c r="B48" s="109">
        <v>1</v>
      </c>
      <c r="C48" s="127"/>
      <c r="D48" s="127"/>
      <c r="E48" s="127"/>
      <c r="F48" s="127"/>
      <c r="G48" s="127"/>
      <c r="H48" s="110">
        <f>IFERROR(VLOOKUP("Cs-137",$A$4:$Q$32,3)*VLOOKUP("Cs-137",Doses!$A$1:$O$40,9)*$B48,0)</f>
        <v>4.9202035343321912E-5</v>
      </c>
      <c r="I48" s="122">
        <f>IFERROR(VLOOKUP("Cs-137",$A$4:$Q$32,4)*VLOOKUP("Cs-137",Doses!$A$1:$O$40,12)*$B48,0)</f>
        <v>7.0646730439713066</v>
      </c>
      <c r="J48" s="122">
        <f>IFERROR(VLOOKUP("Cs-137",$A$4:$Q$32,5)*VLOOKUP("Cs-137",Doses!$A$1:$O$40,13)*$B48,0)</f>
        <v>8.9118715139832414</v>
      </c>
      <c r="K48" s="122">
        <f>IFERROR(VLOOKUP("Cs-137",$A$4:$Q$32,6)*VLOOKUP("Cs-137",Doses!$A$1:$O$40,14)*$B48,0)</f>
        <v>8.5133987005938199</v>
      </c>
      <c r="L48" s="122">
        <f>IFERROR(VLOOKUP("Cs-137",$A$4:$Q$32,7)*VLOOKUP("Cs-137",Doses!$A$1:$O$40,15)*$B48,0)</f>
        <v>11.593070063061981</v>
      </c>
      <c r="M48" s="110">
        <f t="shared" si="66"/>
        <v>1.8204753077029125E-6</v>
      </c>
      <c r="N48" s="122">
        <f t="shared" si="67"/>
        <v>0.26139290262693859</v>
      </c>
      <c r="O48" s="122">
        <f t="shared" si="68"/>
        <v>0.32973924601738025</v>
      </c>
      <c r="P48" s="122">
        <f t="shared" si="69"/>
        <v>0.31499575192197166</v>
      </c>
      <c r="Q48" s="112">
        <f t="shared" si="70"/>
        <v>0.42894359233329377</v>
      </c>
    </row>
    <row r="49" spans="1:17" ht="15">
      <c r="A49" s="108" t="s">
        <v>151</v>
      </c>
      <c r="B49" s="109">
        <v>0.94399</v>
      </c>
      <c r="C49" s="127"/>
      <c r="D49" s="127"/>
      <c r="E49" s="127"/>
      <c r="F49" s="127"/>
      <c r="G49" s="127"/>
      <c r="H49" s="110">
        <f>IFERROR(VLOOKUP("Ba-137m",$A$4:$Q$32,3)*VLOOKUP("Ba-137m",Doses!$A$1:$O$40,9)*$B49,0)</f>
        <v>7.4616087276224565</v>
      </c>
      <c r="I49" s="122">
        <f>IFERROR(VLOOKUP("Ba-137m",$A$4:$Q$32,4)*VLOOKUP("Ba-137m",Doses!$A$1:$O$40,12)*$B49,0)</f>
        <v>5.4650096516579927</v>
      </c>
      <c r="J49" s="122">
        <f>IFERROR(VLOOKUP("Ba-137m",$A$4:$Q$32,5)*VLOOKUP("Ba-137m",Doses!$A$1:$O$40,13)*$B49,0)</f>
        <v>7.1711387474754069</v>
      </c>
      <c r="K49" s="122">
        <f>IFERROR(VLOOKUP("Ba-137m",$A$4:$Q$32,6)*VLOOKUP("Ba-137m",Doses!$A$1:$O$40,14)*$B49,0)</f>
        <v>7.7320975648684511</v>
      </c>
      <c r="L49" s="122">
        <f>IFERROR(VLOOKUP("Ba-137m",$A$4:$Q$32,7)*VLOOKUP("Ba-137m",Doses!$A$1:$O$40,15)*$B49,0)</f>
        <v>6.1568565804490065</v>
      </c>
      <c r="M49" s="110">
        <f t="shared" si="66"/>
        <v>0.2760795229220312</v>
      </c>
      <c r="N49" s="122">
        <f t="shared" si="67"/>
        <v>0.20220535711134593</v>
      </c>
      <c r="O49" s="122">
        <f t="shared" si="68"/>
        <v>0.26533213365659031</v>
      </c>
      <c r="P49" s="122">
        <f t="shared" si="69"/>
        <v>0.28608760990013299</v>
      </c>
      <c r="Q49" s="112">
        <f t="shared" si="70"/>
        <v>0.22780369347661347</v>
      </c>
    </row>
    <row r="50" spans="1:17" ht="15">
      <c r="A50" s="104" t="s">
        <v>27</v>
      </c>
      <c r="B50" s="104" t="s">
        <v>50</v>
      </c>
      <c r="C50" s="127"/>
      <c r="D50" s="127"/>
      <c r="E50" s="127"/>
      <c r="F50" s="127"/>
      <c r="G50" s="127"/>
      <c r="H50" s="114">
        <f>SUM(H51:H64)</f>
        <v>20.399910554537943</v>
      </c>
      <c r="I50" s="121">
        <f>SUM(I51:I64)</f>
        <v>28.313355209482527</v>
      </c>
      <c r="J50" s="121">
        <f>SUM(J51:J64)</f>
        <v>30.372643388270998</v>
      </c>
      <c r="K50" s="121">
        <f>SUM(K51:K64)</f>
        <v>30.494822974723014</v>
      </c>
      <c r="L50" s="121">
        <f>SUM(L51:L64)</f>
        <v>27.738510500846481</v>
      </c>
      <c r="M50" s="114">
        <f t="shared" si="66"/>
        <v>0.75479669051790466</v>
      </c>
      <c r="N50" s="121">
        <f t="shared" si="67"/>
        <v>1.0475941427508546</v>
      </c>
      <c r="O50" s="121">
        <f t="shared" si="68"/>
        <v>1.123787805366028</v>
      </c>
      <c r="P50" s="121">
        <f t="shared" si="69"/>
        <v>1.1283084500647527</v>
      </c>
      <c r="Q50" s="116">
        <f t="shared" si="70"/>
        <v>1.0263248885313208</v>
      </c>
    </row>
    <row r="51" spans="1:17" ht="15">
      <c r="A51" s="108" t="s">
        <v>152</v>
      </c>
      <c r="B51" s="109">
        <v>1</v>
      </c>
      <c r="C51" s="127"/>
      <c r="D51" s="127"/>
      <c r="E51" s="127"/>
      <c r="F51" s="127"/>
      <c r="G51" s="127"/>
      <c r="H51" s="110">
        <f>IFERROR(VLOOKUP("Ra-226",$A$4:$Q$32,3)*VLOOKUP("Ra-226",Doses!$A$1:$O$40,9)*$B51,0)</f>
        <v>0.31559296219326483</v>
      </c>
      <c r="I51" s="122">
        <f>IFERROR(VLOOKUP("Ra-226",$A$4:$Q$32,4)*VLOOKUP("Ra-226",Doses!$A$1:$O$40,12)*$B51,0)</f>
        <v>6.2722069759533845</v>
      </c>
      <c r="J51" s="122">
        <f>IFERROR(VLOOKUP("Ra-226",$A$4:$Q$32,5)*VLOOKUP("Ra-226",Doses!$A$1:$O$40,13)*$B51,0)</f>
        <v>8.1484671583213402</v>
      </c>
      <c r="K51" s="122">
        <f>IFERROR(VLOOKUP("Ra-226",$A$4:$Q$32,6)*VLOOKUP("Ra-226",Doses!$A$1:$O$40,14)*$B51,0)</f>
        <v>8.0047646632935603</v>
      </c>
      <c r="L51" s="122">
        <f>IFERROR(VLOOKUP("Ra-226",$A$4:$Q$32,7)*VLOOKUP("Ra-226",Doses!$A$1:$O$40,15)*$B51,0)</f>
        <v>8.4764501210928032</v>
      </c>
      <c r="M51" s="110">
        <f t="shared" si="66"/>
        <v>1.167693960115081E-2</v>
      </c>
      <c r="N51" s="122">
        <f t="shared" si="67"/>
        <v>0.23207165811027547</v>
      </c>
      <c r="O51" s="122">
        <f t="shared" si="68"/>
        <v>0.3014932848578899</v>
      </c>
      <c r="P51" s="122">
        <f t="shared" si="69"/>
        <v>0.29617629254186201</v>
      </c>
      <c r="Q51" s="112">
        <f t="shared" si="70"/>
        <v>0.31362865448043403</v>
      </c>
    </row>
    <row r="52" spans="1:17" ht="15">
      <c r="A52" s="108" t="s">
        <v>153</v>
      </c>
      <c r="B52" s="109">
        <v>1</v>
      </c>
      <c r="C52" s="127"/>
      <c r="D52" s="127"/>
      <c r="E52" s="127"/>
      <c r="F52" s="127"/>
      <c r="G52" s="127"/>
      <c r="H52" s="110">
        <f>IFERROR(VLOOKUP("Rn-222",$A$4:$Q$32,3)*VLOOKUP("Rn-222",Doses!$A$1:$O$40,9)*$B52,0)</f>
        <v>6.6160013737671238E-3</v>
      </c>
      <c r="I52" s="122">
        <f>IFERROR(VLOOKUP("Rn-222",$A$4:$Q$32,4)*VLOOKUP("Rn-222",Doses!$A$1:$O$40,12)*$B52,0)</f>
        <v>4.6817713363892692E-3</v>
      </c>
      <c r="J52" s="122">
        <f>IFERROR(VLOOKUP("Rn-222",$A$4:$Q$32,5)*VLOOKUP("Rn-222",Doses!$A$1:$O$40,13)*$B52,0)</f>
        <v>6.1221826650793374E-3</v>
      </c>
      <c r="K52" s="122">
        <f>IFERROR(VLOOKUP("Rn-222",$A$4:$Q$32,6)*VLOOKUP("Rn-222",Doses!$A$1:$O$40,14)*$B52,0)</f>
        <v>7.1203653734018251E-3</v>
      </c>
      <c r="L52" s="122">
        <f>IFERROR(VLOOKUP("Rn-222",$A$4:$Q$32,7)*VLOOKUP("Rn-222",Doses!$A$1:$O$40,15)*$B52,0)</f>
        <v>6.6394438538070781E-3</v>
      </c>
      <c r="M52" s="110">
        <f t="shared" si="66"/>
        <v>2.4479205082938386E-4</v>
      </c>
      <c r="N52" s="122">
        <f t="shared" si="67"/>
        <v>1.7322553944640312E-4</v>
      </c>
      <c r="O52" s="122">
        <f t="shared" si="68"/>
        <v>2.2652075860793571E-4</v>
      </c>
      <c r="P52" s="122">
        <f t="shared" si="69"/>
        <v>2.6345351881586779E-4</v>
      </c>
      <c r="Q52" s="112">
        <f t="shared" si="70"/>
        <v>2.4565942259086211E-4</v>
      </c>
    </row>
    <row r="53" spans="1:17" ht="15">
      <c r="A53" s="108" t="s">
        <v>154</v>
      </c>
      <c r="B53" s="109">
        <v>1</v>
      </c>
      <c r="C53" s="127"/>
      <c r="D53" s="127"/>
      <c r="E53" s="127"/>
      <c r="F53" s="127"/>
      <c r="G53" s="127"/>
      <c r="H53" s="110">
        <f>IFERROR(VLOOKUP("Po-218",$A$4:$Q$32,3)*VLOOKUP("Po-218",Doses!$A$1:$O$40,9)*$B53,0)</f>
        <v>0</v>
      </c>
      <c r="I53" s="122">
        <f>IFERROR(VLOOKUP("Po-218",$A$4:$Q$32,4)*VLOOKUP("Po-218",Doses!$A$1:$O$40,12)*$B53,0)</f>
        <v>0</v>
      </c>
      <c r="J53" s="122">
        <f>IFERROR(VLOOKUP("Po-218",$A$4:$Q$32,5)*VLOOKUP("Po-218",Doses!$A$1:$O$40,13)*$B53,0)</f>
        <v>0</v>
      </c>
      <c r="K53" s="122">
        <f>IFERROR(VLOOKUP("Po-218",$A$4:$Q$32,6)*VLOOKUP("Po-218",Doses!$A$1:$O$40,14)*$B53,0)</f>
        <v>0</v>
      </c>
      <c r="L53" s="122">
        <f>IFERROR(VLOOKUP("Po-218",$A$4:$Q$32,7)*VLOOKUP("Po-218",Doses!$A$1:$O$40,15)*$B53,0)</f>
        <v>0</v>
      </c>
      <c r="M53" s="110">
        <f t="shared" si="66"/>
        <v>0</v>
      </c>
      <c r="N53" s="122">
        <f t="shared" si="67"/>
        <v>0</v>
      </c>
      <c r="O53" s="122">
        <f t="shared" si="68"/>
        <v>0</v>
      </c>
      <c r="P53" s="122">
        <f t="shared" si="69"/>
        <v>0</v>
      </c>
      <c r="Q53" s="112">
        <f t="shared" si="70"/>
        <v>0</v>
      </c>
    </row>
    <row r="54" spans="1:17" ht="15">
      <c r="A54" s="108" t="s">
        <v>156</v>
      </c>
      <c r="B54" s="109">
        <v>2.0000000000000001E-4</v>
      </c>
      <c r="C54" s="127"/>
      <c r="D54" s="127"/>
      <c r="E54" s="127"/>
      <c r="F54" s="127"/>
      <c r="G54" s="127"/>
      <c r="H54" s="110">
        <f>IFERROR(VLOOKUP("At-218",$A$4:$Q$32,3)*VLOOKUP("At-218",Doses!$A$1:$O$40,9)*$B54,0)</f>
        <v>0</v>
      </c>
      <c r="I54" s="122">
        <f>IFERROR(VLOOKUP("At-218",$A$4:$Q$32,4)*VLOOKUP("At-218",Doses!$A$1:$O$40,12)*$B54,0)</f>
        <v>0</v>
      </c>
      <c r="J54" s="122">
        <f>IFERROR(VLOOKUP("At-218",$A$4:$Q$32,5)*VLOOKUP("At-218",Doses!$A$1:$O$40,13)*$B54,0)</f>
        <v>0</v>
      </c>
      <c r="K54" s="122">
        <f>IFERROR(VLOOKUP("At-218",$A$4:$Q$32,6)*VLOOKUP("At-218",Doses!$A$1:$O$40,14)*$B54,0)</f>
        <v>0</v>
      </c>
      <c r="L54" s="122">
        <f>IFERROR(VLOOKUP("At-218",$A$4:$Q$32,7)*VLOOKUP("At-218",Doses!$A$1:$O$40,15)*$B54,0)</f>
        <v>0</v>
      </c>
      <c r="M54" s="110">
        <f t="shared" si="66"/>
        <v>0</v>
      </c>
      <c r="N54" s="122">
        <f t="shared" si="67"/>
        <v>0</v>
      </c>
      <c r="O54" s="122">
        <f t="shared" si="68"/>
        <v>0</v>
      </c>
      <c r="P54" s="122">
        <f t="shared" si="69"/>
        <v>0</v>
      </c>
      <c r="Q54" s="112">
        <f t="shared" si="70"/>
        <v>0</v>
      </c>
    </row>
    <row r="55" spans="1:17" ht="15">
      <c r="A55" s="108" t="s">
        <v>158</v>
      </c>
      <c r="B55" s="109">
        <v>1.9999999999999999E-7</v>
      </c>
      <c r="C55" s="127"/>
      <c r="D55" s="127"/>
      <c r="E55" s="127"/>
      <c r="F55" s="127"/>
      <c r="G55" s="127"/>
      <c r="H55" s="110">
        <f>IFERROR(VLOOKUP("Rn-218",$A$4:$Q$32,3)*VLOOKUP("Rn-218",Doses!$A$1:$O$40,9)*$B55,0)</f>
        <v>2.1263984919783101E-9</v>
      </c>
      <c r="I55" s="122">
        <f>IFERROR(VLOOKUP("Rn-218",$A$4:$Q$32,4)*VLOOKUP("Rn-218",Doses!$A$1:$O$40,12)*$B55,0)</f>
        <v>1.483307903351598E-9</v>
      </c>
      <c r="J55" s="122">
        <f>IFERROR(VLOOKUP("Rn-218",$A$4:$Q$32,5)*VLOOKUP("Rn-218",Doses!$A$1:$O$40,13)*$B55,0)</f>
        <v>2.0176361948378993E-9</v>
      </c>
      <c r="K55" s="122">
        <f>IFERROR(VLOOKUP("Rn-218",$A$4:$Q$32,6)*VLOOKUP("Rn-218",Doses!$A$1:$O$40,14)*$B55,0)</f>
        <v>2.2139194126449772E-9</v>
      </c>
      <c r="L55" s="122">
        <f>IFERROR(VLOOKUP("Rn-218",$A$4:$Q$32,7)*VLOOKUP("Rn-218",Doses!$A$1:$O$40,15)*$B55,0)</f>
        <v>1.7480854044349312E-9</v>
      </c>
      <c r="M55" s="110">
        <f t="shared" si="66"/>
        <v>7.8676744203197552E-11</v>
      </c>
      <c r="N55" s="122">
        <f t="shared" si="67"/>
        <v>5.4882392424009182E-11</v>
      </c>
      <c r="O55" s="122">
        <f t="shared" si="68"/>
        <v>7.465253920900235E-11</v>
      </c>
      <c r="P55" s="122">
        <f t="shared" si="69"/>
        <v>8.1915018267864237E-11</v>
      </c>
      <c r="Q55" s="112">
        <f t="shared" si="70"/>
        <v>6.4679159964092525E-11</v>
      </c>
    </row>
    <row r="56" spans="1:17" ht="15">
      <c r="A56" s="108" t="s">
        <v>155</v>
      </c>
      <c r="B56" s="109">
        <v>0.99980000000000002</v>
      </c>
      <c r="C56" s="127"/>
      <c r="D56" s="127"/>
      <c r="E56" s="127"/>
      <c r="F56" s="127"/>
      <c r="G56" s="127"/>
      <c r="H56" s="110">
        <f>IFERROR(VLOOKUP("Pb-214",$A$4:$Q$32,3)*VLOOKUP("Pb-214",Doses!$A$1:$O$40,9)*$B56,0)</f>
        <v>7.3653701564319594</v>
      </c>
      <c r="I56" s="122">
        <f>IFERROR(VLOOKUP("Pb-214",$A$4:$Q$32,4)*VLOOKUP("Pb-214",Doses!$A$1:$O$40,12)*$B56,0)</f>
        <v>8.8079154259090036</v>
      </c>
      <c r="J56" s="122">
        <f>IFERROR(VLOOKUP("Pb-214",$A$4:$Q$32,5)*VLOOKUP("Pb-214",Doses!$A$1:$O$40,13)*$B56,0)</f>
        <v>9.1412289145107781</v>
      </c>
      <c r="K56" s="122">
        <f>IFERROR(VLOOKUP("Pb-214",$A$4:$Q$32,6)*VLOOKUP("Pb-214",Doses!$A$1:$O$40,14)*$B56,0)</f>
        <v>9.0255819187821622</v>
      </c>
      <c r="L56" s="122">
        <f>IFERROR(VLOOKUP("Pb-214",$A$4:$Q$32,7)*VLOOKUP("Pb-214",Doses!$A$1:$O$40,15)*$B56,0)</f>
        <v>7.7237520370076549</v>
      </c>
      <c r="M56" s="110">
        <f t="shared" si="66"/>
        <v>0.27251869578798277</v>
      </c>
      <c r="N56" s="122">
        <f t="shared" si="67"/>
        <v>0.32589287075863344</v>
      </c>
      <c r="O56" s="122">
        <f t="shared" si="68"/>
        <v>0.33822546983689911</v>
      </c>
      <c r="P56" s="122">
        <f t="shared" si="69"/>
        <v>0.33394653099494032</v>
      </c>
      <c r="Q56" s="112">
        <f t="shared" si="70"/>
        <v>0.28577882536928351</v>
      </c>
    </row>
    <row r="57" spans="1:17" ht="15">
      <c r="A57" s="108" t="s">
        <v>157</v>
      </c>
      <c r="B57" s="109">
        <v>0.99999979999999999</v>
      </c>
      <c r="C57" s="127"/>
      <c r="D57" s="127"/>
      <c r="E57" s="127"/>
      <c r="F57" s="127"/>
      <c r="G57" s="127"/>
      <c r="H57" s="110">
        <f>IFERROR(VLOOKUP("Bi-214",$A$4:$Q$32,3)*VLOOKUP("Bi-214",Doses!$A$1:$O$40,9)*$B57,0)</f>
        <v>11.534534261894056</v>
      </c>
      <c r="I57" s="122">
        <f>IFERROR(VLOOKUP("Bi-214",$A$4:$Q$32,4)*VLOOKUP("Bi-214",Doses!$A$1:$O$40,12)*$B57,0)</f>
        <v>7.9097334585210284</v>
      </c>
      <c r="J57" s="122">
        <f>IFERROR(VLOOKUP("Bi-214",$A$4:$Q$32,5)*VLOOKUP("Bi-214",Doses!$A$1:$O$40,13)*$B57,0)</f>
        <v>10.474041688804258</v>
      </c>
      <c r="K57" s="122">
        <f>IFERROR(VLOOKUP("Bi-214",$A$4:$Q$32,6)*VLOOKUP("Bi-214",Doses!$A$1:$O$40,14)*$B57,0)</f>
        <v>10.882887510505395</v>
      </c>
      <c r="L57" s="122">
        <f>IFERROR(VLOOKUP("Bi-214",$A$4:$Q$32,7)*VLOOKUP("Bi-214",Doses!$A$1:$O$40,15)*$B57,0)</f>
        <v>9.1129342028294626</v>
      </c>
      <c r="M57" s="110">
        <f t="shared" si="66"/>
        <v>0.42677776769008047</v>
      </c>
      <c r="N57" s="122">
        <f t="shared" si="67"/>
        <v>0.29266013796527834</v>
      </c>
      <c r="O57" s="122">
        <f t="shared" si="68"/>
        <v>0.38753954248575795</v>
      </c>
      <c r="P57" s="122">
        <f t="shared" si="69"/>
        <v>0.4026668378887</v>
      </c>
      <c r="Q57" s="112">
        <f t="shared" si="70"/>
        <v>0.33717856550469044</v>
      </c>
    </row>
    <row r="58" spans="1:17" ht="15">
      <c r="A58" s="108" t="s">
        <v>159</v>
      </c>
      <c r="B58" s="109">
        <v>0.99979000004200003</v>
      </c>
      <c r="C58" s="127"/>
      <c r="D58" s="127"/>
      <c r="E58" s="127"/>
      <c r="F58" s="127"/>
      <c r="G58" s="127"/>
      <c r="H58" s="110">
        <f>IFERROR(VLOOKUP("Po-214",$A$4:$Q$32,3)*VLOOKUP("Po-214",Doses!$A$1:$O$40,9)*$B58,0)</f>
        <v>9.704393656609732E-4</v>
      </c>
      <c r="I58" s="122">
        <f>IFERROR(VLOOKUP("Po-214",$A$4:$Q$32,4)*VLOOKUP("Po-214",Doses!$A$1:$O$40,12)*$B58,0)</f>
        <v>6.0242520369522168E-4</v>
      </c>
      <c r="J58" s="122">
        <f>IFERROR(VLOOKUP("Po-214",$A$4:$Q$32,5)*VLOOKUP("Po-214",Doses!$A$1:$O$40,13)*$B58,0)</f>
        <v>8.3717959231407785E-4</v>
      </c>
      <c r="K58" s="122">
        <f>IFERROR(VLOOKUP("Po-214",$A$4:$Q$32,6)*VLOOKUP("Po-214",Doses!$A$1:$O$40,14)*$B58,0)</f>
        <v>8.5864735572677685E-4</v>
      </c>
      <c r="L58" s="122">
        <f>IFERROR(VLOOKUP("Po-214",$A$4:$Q$32,7)*VLOOKUP("Po-214",Doses!$A$1:$O$40,15)*$B58,0)</f>
        <v>7.4456137598920042E-4</v>
      </c>
      <c r="M58" s="110">
        <f t="shared" si="66"/>
        <v>3.5906256529456048E-5</v>
      </c>
      <c r="N58" s="122">
        <f t="shared" si="67"/>
        <v>2.2289732536723225E-5</v>
      </c>
      <c r="O58" s="122">
        <f t="shared" si="68"/>
        <v>3.0975644915620914E-5</v>
      </c>
      <c r="P58" s="122">
        <f t="shared" si="69"/>
        <v>3.1769952161890776E-5</v>
      </c>
      <c r="Q58" s="112">
        <f t="shared" si="70"/>
        <v>2.7548770911600443E-5</v>
      </c>
    </row>
    <row r="59" spans="1:17" ht="15">
      <c r="A59" s="108" t="s">
        <v>160</v>
      </c>
      <c r="B59" s="109">
        <v>2.0999995799999999E-4</v>
      </c>
      <c r="C59" s="127"/>
      <c r="D59" s="127"/>
      <c r="E59" s="127"/>
      <c r="F59" s="127"/>
      <c r="G59" s="127"/>
      <c r="H59" s="110">
        <f>IFERROR(VLOOKUP("Tl-210",$A$4:$Q$32,3)*VLOOKUP("Tl-210",Doses!$A$1:$O$40,9)*$B59,0)</f>
        <v>5.8264047121474195E-3</v>
      </c>
      <c r="I59" s="122">
        <f>IFERROR(VLOOKUP("Tl-210",$A$4:$Q$32,4)*VLOOKUP("Tl-210",Doses!$A$1:$O$40,12)*$B59,0)</f>
        <v>4.7979798680992105E-3</v>
      </c>
      <c r="J59" s="122">
        <f>IFERROR(VLOOKUP("Tl-210",$A$4:$Q$32,5)*VLOOKUP("Tl-210",Doses!$A$1:$O$40,13)*$B59,0)</f>
        <v>5.714976066489832E-3</v>
      </c>
      <c r="K59" s="122">
        <f>IFERROR(VLOOKUP("Tl-210",$A$4:$Q$32,6)*VLOOKUP("Tl-210",Doses!$A$1:$O$40,14)*$B59,0)</f>
        <v>5.8143983882620407E-3</v>
      </c>
      <c r="L59" s="122">
        <f>IFERROR(VLOOKUP("Tl-210",$A$4:$Q$32,7)*VLOOKUP("Tl-210",Doses!$A$1:$O$40,15)*$B59,0)</f>
        <v>4.9717008944354787E-3</v>
      </c>
      <c r="M59" s="110">
        <f t="shared" si="66"/>
        <v>2.1557697434945473E-4</v>
      </c>
      <c r="N59" s="122">
        <f t="shared" si="67"/>
        <v>1.7752525511967096E-4</v>
      </c>
      <c r="O59" s="122">
        <f t="shared" si="68"/>
        <v>2.1145411446012399E-4</v>
      </c>
      <c r="P59" s="122">
        <f t="shared" si="69"/>
        <v>2.1513274036569571E-4</v>
      </c>
      <c r="Q59" s="112">
        <f t="shared" si="70"/>
        <v>1.8395293309411291E-4</v>
      </c>
    </row>
    <row r="60" spans="1:17" ht="15">
      <c r="A60" s="108" t="s">
        <v>161</v>
      </c>
      <c r="B60" s="109">
        <v>1</v>
      </c>
      <c r="C60" s="127"/>
      <c r="D60" s="127"/>
      <c r="E60" s="127"/>
      <c r="F60" s="127"/>
      <c r="G60" s="127"/>
      <c r="H60" s="110">
        <f>IFERROR(VLOOKUP("Pb-210",$A$4:$Q$32,3)*VLOOKUP("Pb-210",Doses!$A$1:$O$40,9)*$B60,0)</f>
        <v>1.1708775980376713</v>
      </c>
      <c r="I60" s="122">
        <f>IFERROR(VLOOKUP("Pb-210",$A$4:$Q$32,4)*VLOOKUP("Pb-210",Doses!$A$1:$O$40,12)*$B60,0)</f>
        <v>5.3133371037460044</v>
      </c>
      <c r="J60" s="122">
        <f>IFERROR(VLOOKUP("Pb-210",$A$4:$Q$32,5)*VLOOKUP("Pb-210",Doses!$A$1:$O$40,13)*$B60,0)</f>
        <v>2.5961223041780821</v>
      </c>
      <c r="K60" s="122">
        <f>IFERROR(VLOOKUP("Pb-210",$A$4:$Q$32,6)*VLOOKUP("Pb-210",Doses!$A$1:$O$40,14)*$B60,0)</f>
        <v>2.5676841139960049</v>
      </c>
      <c r="L60" s="122">
        <f>IFERROR(VLOOKUP("Pb-210",$A$4:$Q$32,7)*VLOOKUP("Pb-210",Doses!$A$1:$O$40,15)*$B60,0)</f>
        <v>2.4129220464275112</v>
      </c>
      <c r="M60" s="110">
        <f t="shared" si="66"/>
        <v>4.3322471127393881E-2</v>
      </c>
      <c r="N60" s="122">
        <f t="shared" si="67"/>
        <v>0.19659347283860237</v>
      </c>
      <c r="O60" s="122">
        <f t="shared" si="68"/>
        <v>9.6056525254589131E-2</v>
      </c>
      <c r="P60" s="122">
        <f t="shared" si="69"/>
        <v>9.5004312217852285E-2</v>
      </c>
      <c r="Q60" s="112">
        <f t="shared" si="70"/>
        <v>8.9278115717818005E-2</v>
      </c>
    </row>
    <row r="61" spans="1:17" ht="15">
      <c r="A61" s="108" t="s">
        <v>162</v>
      </c>
      <c r="B61" s="109">
        <v>1</v>
      </c>
      <c r="C61" s="127"/>
      <c r="D61" s="127"/>
      <c r="E61" s="127"/>
      <c r="F61" s="127"/>
      <c r="G61" s="127"/>
      <c r="H61" s="110">
        <f>IFERROR(VLOOKUP("Bi-210",$A$4:$Q$32,3)*VLOOKUP("Bi-210",Doses!$A$1:$O$40,9)*$B61,0)</f>
        <v>9.8038013023173518E-6</v>
      </c>
      <c r="I61" s="122">
        <f>IFERROR(VLOOKUP("Bi-210",$A$4:$Q$32,4)*VLOOKUP("Bi-210",Doses!$A$1:$O$40,12)*$B61,0)</f>
        <v>9.9509128614098164E-6</v>
      </c>
      <c r="J61" s="122">
        <f>IFERROR(VLOOKUP("Bi-210",$A$4:$Q$32,5)*VLOOKUP("Bi-210",Doses!$A$1:$O$40,13)*$B61,0)</f>
        <v>1.1578463816797945E-5</v>
      </c>
      <c r="K61" s="122">
        <f>IFERROR(VLOOKUP("Bi-210",$A$4:$Q$32,6)*VLOOKUP("Bi-210",Doses!$A$1:$O$40,14)*$B61,0)</f>
        <v>1.1584123343293379E-5</v>
      </c>
      <c r="L61" s="122">
        <f>IFERROR(VLOOKUP("Bi-210",$A$4:$Q$32,7)*VLOOKUP("Bi-210",Doses!$A$1:$O$40,15)*$B61,0)</f>
        <v>9.8151649660216898E-6</v>
      </c>
      <c r="M61" s="110">
        <f t="shared" ref="M61:M78" si="72">IFERROR(H61/s_1_bq,".")</f>
        <v>3.6274064818574236E-7</v>
      </c>
      <c r="N61" s="122">
        <f t="shared" ref="N61:N78" si="73">IFERROR(I61/s_1_bq,".")</f>
        <v>3.6818377587216356E-7</v>
      </c>
      <c r="O61" s="122">
        <f t="shared" ref="O61:O78" si="74">IFERROR(J61/s_1_bq,".")</f>
        <v>4.284031612215244E-7</v>
      </c>
      <c r="P61" s="122">
        <f t="shared" ref="P61:P78" si="75">IFERROR(K61/s_1_bq,".")</f>
        <v>4.2861256370185547E-7</v>
      </c>
      <c r="Q61" s="112">
        <f t="shared" ref="Q61:Q78" si="76">IFERROR(L61/s_1_bq,".")</f>
        <v>3.631611037428029E-7</v>
      </c>
    </row>
    <row r="62" spans="1:17" ht="15">
      <c r="A62" s="108" t="s">
        <v>164</v>
      </c>
      <c r="B62" s="109">
        <v>1</v>
      </c>
      <c r="C62" s="127"/>
      <c r="D62" s="127"/>
      <c r="E62" s="127"/>
      <c r="F62" s="127"/>
      <c r="G62" s="127"/>
      <c r="H62" s="110">
        <f>IFERROR(VLOOKUP("Po-210",$A$4:$Q$32,3)*VLOOKUP("Po-210",Doses!$A$1:$O$40,9)*$B62,0)</f>
        <v>1.1285320394760274E-4</v>
      </c>
      <c r="I62" s="122">
        <f>IFERROR(VLOOKUP("Po-210",$A$4:$Q$32,4)*VLOOKUP("Po-210",Doses!$A$1:$O$40,12)*$B62,0)</f>
        <v>7.0031290262271691E-5</v>
      </c>
      <c r="J62" s="122">
        <f>IFERROR(VLOOKUP("Po-210",$A$4:$Q$32,5)*VLOOKUP("Po-210",Doses!$A$1:$O$40,13)*$B62,0)</f>
        <v>9.7311917372773981E-5</v>
      </c>
      <c r="K62" s="122">
        <f>IFERROR(VLOOKUP("Po-210",$A$4:$Q$32,6)*VLOOKUP("Po-210",Doses!$A$1:$O$40,14)*$B62,0)</f>
        <v>9.9682459582762565E-5</v>
      </c>
      <c r="L62" s="122">
        <f>IFERROR(VLOOKUP("Po-210",$A$4:$Q$32,7)*VLOOKUP("Po-210",Doses!$A$1:$O$40,15)*$B62,0)</f>
        <v>8.6493884680022829E-5</v>
      </c>
      <c r="M62" s="110">
        <f t="shared" si="72"/>
        <v>4.175568546061306E-6</v>
      </c>
      <c r="N62" s="122">
        <f t="shared" si="73"/>
        <v>2.591157739704055E-6</v>
      </c>
      <c r="O62" s="122">
        <f t="shared" si="74"/>
        <v>3.6005409427926409E-6</v>
      </c>
      <c r="P62" s="122">
        <f t="shared" si="75"/>
        <v>3.6882510045622186E-6</v>
      </c>
      <c r="Q62" s="112">
        <f t="shared" si="76"/>
        <v>3.2002737331608477E-6</v>
      </c>
    </row>
    <row r="63" spans="1:17" ht="15">
      <c r="A63" s="108" t="s">
        <v>163</v>
      </c>
      <c r="B63" s="109">
        <v>1.9000000000000001E-8</v>
      </c>
      <c r="C63" s="127"/>
      <c r="D63" s="127"/>
      <c r="E63" s="127"/>
      <c r="F63" s="127"/>
      <c r="G63" s="127"/>
      <c r="H63" s="110">
        <f>IFERROR(VLOOKUP("Hg-206",$A$4:$Q$32,3)*VLOOKUP("Hg-206",Doses!$A$1:$O$40,9)*$B63,0)</f>
        <v>6.4322511679118154E-8</v>
      </c>
      <c r="I63" s="122">
        <f>IFERROR(VLOOKUP("Hg-206",$A$4:$Q$32,4)*VLOOKUP("Hg-206",Doses!$A$1:$O$40,12)*$B63,0)</f>
        <v>6.9319695322631283E-8</v>
      </c>
      <c r="J63" s="122">
        <f>IFERROR(VLOOKUP("Hg-206",$A$4:$Q$32,5)*VLOOKUP("Hg-206",Doses!$A$1:$O$40,13)*$B63,0)</f>
        <v>7.8840929996840748E-8</v>
      </c>
      <c r="K63" s="122">
        <f>IFERROR(VLOOKUP("Hg-206",$A$4:$Q$32,6)*VLOOKUP("Hg-206",Doses!$A$1:$O$40,14)*$B63,0)</f>
        <v>7.8015328988553663E-8</v>
      </c>
      <c r="L63" s="122">
        <f>IFERROR(VLOOKUP("Hg-206",$A$4:$Q$32,7)*VLOOKUP("Hg-206",Doses!$A$1:$O$40,15)*$B63,0)</f>
        <v>6.5863743929613016E-8</v>
      </c>
      <c r="M63" s="110">
        <f t="shared" si="72"/>
        <v>2.3799329321273742E-9</v>
      </c>
      <c r="N63" s="122">
        <f t="shared" si="73"/>
        <v>2.5648287269373601E-9</v>
      </c>
      <c r="O63" s="122">
        <f t="shared" si="74"/>
        <v>2.9171144098831108E-9</v>
      </c>
      <c r="P63" s="122">
        <f t="shared" si="75"/>
        <v>2.8865671725764884E-9</v>
      </c>
      <c r="Q63" s="112">
        <f t="shared" si="76"/>
        <v>2.4369585253956841E-9</v>
      </c>
    </row>
    <row r="64" spans="1:17" ht="15.75" thickBot="1">
      <c r="A64" s="108" t="s">
        <v>165</v>
      </c>
      <c r="B64" s="109">
        <v>1.339E-6</v>
      </c>
      <c r="C64" s="127"/>
      <c r="D64" s="127"/>
      <c r="E64" s="127"/>
      <c r="F64" s="127"/>
      <c r="G64" s="127"/>
      <c r="H64" s="117">
        <f>IFERROR(VLOOKUP("Tl-206",$A$4:$Q$32,3)*VLOOKUP("Tl-206",Doses!$A$1:$O$40,9)*$B64,0)</f>
        <v>7.0752581495189201E-9</v>
      </c>
      <c r="I64" s="118">
        <f>IFERROR(VLOOKUP("Tl-206",$A$4:$Q$32,4)*VLOOKUP("Tl-206",Doses!$A$1:$O$40,12)*$B64,0)</f>
        <v>1.5938795691073309E-8</v>
      </c>
      <c r="J64" s="118">
        <f>IFERROR(VLOOKUP("Tl-206",$A$4:$Q$32,5)*VLOOKUP("Tl-206",Doses!$A$1:$O$40,13)*$B64,0)</f>
        <v>1.2892906735776256E-8</v>
      </c>
      <c r="K64" s="118">
        <f>IFERROR(VLOOKUP("Tl-206",$A$4:$Q$32,6)*VLOOKUP("Tl-206",Doses!$A$1:$O$40,14)*$B64,0)</f>
        <v>1.0216326222347843E-8</v>
      </c>
      <c r="L64" s="118">
        <f>IFERROR(VLOOKUP("Tl-206",$A$4:$Q$32,7)*VLOOKUP("Tl-206",Doses!$A$1:$O$40,15)*$B64,0)</f>
        <v>1.0703337157886662E-8</v>
      </c>
      <c r="M64" s="117">
        <f t="shared" si="72"/>
        <v>2.617845515322003E-10</v>
      </c>
      <c r="N64" s="118">
        <f t="shared" si="73"/>
        <v>5.8973544056971302E-10</v>
      </c>
      <c r="O64" s="118">
        <f t="shared" si="74"/>
        <v>4.77037549223722E-10</v>
      </c>
      <c r="P64" s="118">
        <f t="shared" si="75"/>
        <v>3.7800407022687054E-10</v>
      </c>
      <c r="Q64" s="119">
        <f t="shared" si="76"/>
        <v>3.9602347484180689E-10</v>
      </c>
    </row>
    <row r="65" spans="1:17" ht="15">
      <c r="A65" s="104" t="s">
        <v>31</v>
      </c>
      <c r="B65" s="104" t="s">
        <v>50</v>
      </c>
      <c r="C65" s="127"/>
      <c r="D65" s="127"/>
      <c r="E65" s="127"/>
      <c r="F65" s="127"/>
      <c r="G65" s="127"/>
      <c r="H65" s="114">
        <f>SUM(H66:H78)</f>
        <v>20.084317592344679</v>
      </c>
      <c r="I65" s="121">
        <f t="shared" ref="I65:L65" si="77">SUM(I66:I78)</f>
        <v>22.041148233529142</v>
      </c>
      <c r="J65" s="121">
        <f t="shared" si="77"/>
        <v>22.224176229949659</v>
      </c>
      <c r="K65" s="121">
        <f t="shared" si="77"/>
        <v>22.490058311429454</v>
      </c>
      <c r="L65" s="121">
        <f t="shared" si="77"/>
        <v>19.262060379753674</v>
      </c>
      <c r="M65" s="114">
        <f t="shared" si="72"/>
        <v>0.74311975091675386</v>
      </c>
      <c r="N65" s="121">
        <f t="shared" si="73"/>
        <v>0.81552248464057908</v>
      </c>
      <c r="O65" s="121">
        <f t="shared" si="74"/>
        <v>0.82229452050813823</v>
      </c>
      <c r="P65" s="121">
        <f t="shared" si="75"/>
        <v>0.8321321575228906</v>
      </c>
      <c r="Q65" s="116">
        <f t="shared" si="76"/>
        <v>0.71269623405088667</v>
      </c>
    </row>
    <row r="66" spans="1:17" ht="15">
      <c r="A66" s="108" t="s">
        <v>153</v>
      </c>
      <c r="B66" s="109">
        <v>1</v>
      </c>
      <c r="C66" s="127"/>
      <c r="D66" s="127"/>
      <c r="E66" s="127"/>
      <c r="F66" s="127"/>
      <c r="G66" s="127"/>
      <c r="H66" s="110">
        <f>IFERROR(VLOOKUP("Rn-222",$A$4:$Q$32,3)*VLOOKUP("Rn-222",Doses!$A$1:$O$40,9)*$B66,0)</f>
        <v>6.6160013737671238E-3</v>
      </c>
      <c r="I66" s="122">
        <f>IFERROR(VLOOKUP("Rn-222",$A$4:$Q$32,4)*VLOOKUP("Rn-222",Doses!$A$1:$O$40,12)*$B66,0)</f>
        <v>4.6817713363892692E-3</v>
      </c>
      <c r="J66" s="122">
        <f>IFERROR(VLOOKUP("Rn-222",$A$4:$Q$32,5)*VLOOKUP("Rn-222",Doses!$A$1:$O$40,13)*$B66,0)</f>
        <v>6.1221826650793374E-3</v>
      </c>
      <c r="K66" s="122">
        <f>IFERROR(VLOOKUP("Rn-222",$A$4:$Q$32,6)*VLOOKUP("Rn-222",Doses!$A$1:$O$40,14)*$B66,0)</f>
        <v>7.1203653734018251E-3</v>
      </c>
      <c r="L66" s="122">
        <f>IFERROR(VLOOKUP("Rn-222",$A$4:$Q$32,7)*VLOOKUP("Rn-222",Doses!$A$1:$O$40,15)*$B66,0)</f>
        <v>6.6394438538070781E-3</v>
      </c>
      <c r="M66" s="110">
        <f t="shared" si="72"/>
        <v>2.4479205082938386E-4</v>
      </c>
      <c r="N66" s="122">
        <f t="shared" si="73"/>
        <v>1.7322553944640312E-4</v>
      </c>
      <c r="O66" s="122">
        <f t="shared" si="74"/>
        <v>2.2652075860793571E-4</v>
      </c>
      <c r="P66" s="122">
        <f t="shared" si="75"/>
        <v>2.6345351881586779E-4</v>
      </c>
      <c r="Q66" s="112">
        <f t="shared" si="76"/>
        <v>2.4565942259086211E-4</v>
      </c>
    </row>
    <row r="67" spans="1:17" ht="15">
      <c r="A67" s="108" t="s">
        <v>154</v>
      </c>
      <c r="B67" s="109">
        <v>1</v>
      </c>
      <c r="C67" s="127"/>
      <c r="D67" s="127"/>
      <c r="E67" s="127"/>
      <c r="F67" s="127"/>
      <c r="G67" s="127"/>
      <c r="H67" s="110">
        <f>IFERROR(VLOOKUP("Po-218",$A$4:$Q$32,3)*VLOOKUP("Po-218",Doses!$A$1:$O$40,9)*$B67,0)</f>
        <v>0</v>
      </c>
      <c r="I67" s="122">
        <f>IFERROR(VLOOKUP("Po-218",$A$4:$Q$32,4)*VLOOKUP("Po-218",Doses!$A$1:$O$40,12)*$B67,0)</f>
        <v>0</v>
      </c>
      <c r="J67" s="122">
        <f>IFERROR(VLOOKUP("Po-218",$A$4:$Q$32,5)*VLOOKUP("Po-218",Doses!$A$1:$O$40,13)*$B67,0)</f>
        <v>0</v>
      </c>
      <c r="K67" s="122">
        <f>IFERROR(VLOOKUP("Po-218",$A$4:$Q$32,6)*VLOOKUP("Po-218",Doses!$A$1:$O$40,14)*$B67,0)</f>
        <v>0</v>
      </c>
      <c r="L67" s="122">
        <f>IFERROR(VLOOKUP("Po-218",$A$4:$Q$32,7)*VLOOKUP("Po-218",Doses!$A$1:$O$40,15)*$B67,0)</f>
        <v>0</v>
      </c>
      <c r="M67" s="110">
        <f t="shared" si="72"/>
        <v>0</v>
      </c>
      <c r="N67" s="122">
        <f t="shared" si="73"/>
        <v>0</v>
      </c>
      <c r="O67" s="122">
        <f t="shared" si="74"/>
        <v>0</v>
      </c>
      <c r="P67" s="122">
        <f t="shared" si="75"/>
        <v>0</v>
      </c>
      <c r="Q67" s="112">
        <f t="shared" si="76"/>
        <v>0</v>
      </c>
    </row>
    <row r="68" spans="1:17" ht="15">
      <c r="A68" s="108" t="s">
        <v>156</v>
      </c>
      <c r="B68" s="109">
        <v>2.0000000000000001E-4</v>
      </c>
      <c r="C68" s="127"/>
      <c r="D68" s="127"/>
      <c r="E68" s="127"/>
      <c r="F68" s="127"/>
      <c r="G68" s="127"/>
      <c r="H68" s="110">
        <f>IFERROR(VLOOKUP("At-218",$A$4:$Q$32,3)*VLOOKUP("At-218",Doses!$A$1:$O$40,9)*$B68,0)</f>
        <v>0</v>
      </c>
      <c r="I68" s="122">
        <f>IFERROR(VLOOKUP("At-218",$A$4:$Q$32,4)*VLOOKUP("At-218",Doses!$A$1:$O$40,12)*$B68,0)</f>
        <v>0</v>
      </c>
      <c r="J68" s="122">
        <f>IFERROR(VLOOKUP("At-218",$A$4:$Q$32,5)*VLOOKUP("At-218",Doses!$A$1:$O$40,13)*$B68,0)</f>
        <v>0</v>
      </c>
      <c r="K68" s="122">
        <f>IFERROR(VLOOKUP("At-218",$A$4:$Q$32,6)*VLOOKUP("At-218",Doses!$A$1:$O$40,14)*$B68,0)</f>
        <v>0</v>
      </c>
      <c r="L68" s="122">
        <f>IFERROR(VLOOKUP("At-218",$A$4:$Q$32,7)*VLOOKUP("At-218",Doses!$A$1:$O$40,15)*$B68,0)</f>
        <v>0</v>
      </c>
      <c r="M68" s="110">
        <f t="shared" si="72"/>
        <v>0</v>
      </c>
      <c r="N68" s="122">
        <f t="shared" si="73"/>
        <v>0</v>
      </c>
      <c r="O68" s="122">
        <f t="shared" si="74"/>
        <v>0</v>
      </c>
      <c r="P68" s="122">
        <f t="shared" si="75"/>
        <v>0</v>
      </c>
      <c r="Q68" s="112">
        <f t="shared" si="76"/>
        <v>0</v>
      </c>
    </row>
    <row r="69" spans="1:17" ht="15">
      <c r="A69" s="108" t="s">
        <v>158</v>
      </c>
      <c r="B69" s="109">
        <v>1.9999999999999999E-7</v>
      </c>
      <c r="C69" s="127"/>
      <c r="D69" s="127"/>
      <c r="E69" s="127"/>
      <c r="F69" s="127"/>
      <c r="G69" s="127"/>
      <c r="H69" s="110">
        <f>IFERROR(VLOOKUP("Rn-218",$A$4:$Q$32,3)*VLOOKUP("Rn-218",Doses!$A$1:$O$40,9)*$B69,0)</f>
        <v>2.1263984919783101E-9</v>
      </c>
      <c r="I69" s="122">
        <f>IFERROR(VLOOKUP("Rn-218",$A$4:$Q$32,4)*VLOOKUP("Rn-218",Doses!$A$1:$O$40,12)*$B69,0)</f>
        <v>1.483307903351598E-9</v>
      </c>
      <c r="J69" s="122">
        <f>IFERROR(VLOOKUP("Rn-218",$A$4:$Q$32,5)*VLOOKUP("Rn-218",Doses!$A$1:$O$40,13)*$B69,0)</f>
        <v>2.0176361948378993E-9</v>
      </c>
      <c r="K69" s="122">
        <f>IFERROR(VLOOKUP("Rn-218",$A$4:$Q$32,6)*VLOOKUP("Rn-218",Doses!$A$1:$O$40,14)*$B69,0)</f>
        <v>2.2139194126449772E-9</v>
      </c>
      <c r="L69" s="122">
        <f>IFERROR(VLOOKUP("Rn-218",$A$4:$Q$32,7)*VLOOKUP("Rn-218",Doses!$A$1:$O$40,15)*$B69,0)</f>
        <v>1.7480854044349312E-9</v>
      </c>
      <c r="M69" s="110">
        <f t="shared" si="72"/>
        <v>7.8676744203197552E-11</v>
      </c>
      <c r="N69" s="122">
        <f t="shared" si="73"/>
        <v>5.4882392424009182E-11</v>
      </c>
      <c r="O69" s="122">
        <f t="shared" si="74"/>
        <v>7.465253920900235E-11</v>
      </c>
      <c r="P69" s="122">
        <f t="shared" si="75"/>
        <v>8.1915018267864237E-11</v>
      </c>
      <c r="Q69" s="112">
        <f t="shared" si="76"/>
        <v>6.4679159964092525E-11</v>
      </c>
    </row>
    <row r="70" spans="1:17" ht="15">
      <c r="A70" s="108" t="s">
        <v>155</v>
      </c>
      <c r="B70" s="109">
        <v>0.99980000000000002</v>
      </c>
      <c r="C70" s="127"/>
      <c r="D70" s="127"/>
      <c r="E70" s="127"/>
      <c r="F70" s="127"/>
      <c r="G70" s="127"/>
      <c r="H70" s="110">
        <f>IFERROR(VLOOKUP("Pb-214",$A$4:$Q$32,3)*VLOOKUP("Pb-214",Doses!$A$1:$O$40,9)*$B70,0)</f>
        <v>7.3653701564319594</v>
      </c>
      <c r="I70" s="122">
        <f>IFERROR(VLOOKUP("Pb-214",$A$4:$Q$32,4)*VLOOKUP("Pb-214",Doses!$A$1:$O$40,12)*$B70,0)</f>
        <v>8.8079154259090036</v>
      </c>
      <c r="J70" s="122">
        <f>IFERROR(VLOOKUP("Pb-214",$A$4:$Q$32,5)*VLOOKUP("Pb-214",Doses!$A$1:$O$40,13)*$B70,0)</f>
        <v>9.1412289145107781</v>
      </c>
      <c r="K70" s="122">
        <f>IFERROR(VLOOKUP("Pb-214",$A$4:$Q$32,6)*VLOOKUP("Pb-214",Doses!$A$1:$O$40,14)*$B70,0)</f>
        <v>9.0255819187821622</v>
      </c>
      <c r="L70" s="122">
        <f>IFERROR(VLOOKUP("Pb-214",$A$4:$Q$32,7)*VLOOKUP("Pb-214",Doses!$A$1:$O$40,15)*$B70,0)</f>
        <v>7.7237520370076549</v>
      </c>
      <c r="M70" s="110">
        <f t="shared" si="72"/>
        <v>0.27251869578798277</v>
      </c>
      <c r="N70" s="122">
        <f t="shared" si="73"/>
        <v>0.32589287075863344</v>
      </c>
      <c r="O70" s="122">
        <f t="shared" si="74"/>
        <v>0.33822546983689911</v>
      </c>
      <c r="P70" s="122">
        <f t="shared" si="75"/>
        <v>0.33394653099494032</v>
      </c>
      <c r="Q70" s="112">
        <f t="shared" si="76"/>
        <v>0.28577882536928351</v>
      </c>
    </row>
    <row r="71" spans="1:17" ht="15">
      <c r="A71" s="108" t="s">
        <v>157</v>
      </c>
      <c r="B71" s="109">
        <v>0.99999979999999999</v>
      </c>
      <c r="C71" s="127"/>
      <c r="D71" s="127"/>
      <c r="E71" s="127"/>
      <c r="F71" s="127"/>
      <c r="G71" s="127"/>
      <c r="H71" s="110">
        <f>IFERROR(VLOOKUP("Bi-214",$A$4:$Q$32,3)*VLOOKUP("Bi-214",Doses!$A$1:$O$40,9)*$B71,0)</f>
        <v>11.534534261894056</v>
      </c>
      <c r="I71" s="122">
        <f>IFERROR(VLOOKUP("Bi-214",$A$4:$Q$32,4)*VLOOKUP("Bi-214",Doses!$A$1:$O$40,12)*$B71,0)</f>
        <v>7.9097334585210284</v>
      </c>
      <c r="J71" s="122">
        <f>IFERROR(VLOOKUP("Bi-214",$A$4:$Q$32,5)*VLOOKUP("Bi-214",Doses!$A$1:$O$40,13)*$B71,0)</f>
        <v>10.474041688804258</v>
      </c>
      <c r="K71" s="122">
        <f>IFERROR(VLOOKUP("Bi-214",$A$4:$Q$32,6)*VLOOKUP("Bi-214",Doses!$A$1:$O$40,14)*$B71,0)</f>
        <v>10.882887510505395</v>
      </c>
      <c r="L71" s="122">
        <f>IFERROR(VLOOKUP("Bi-214",$A$4:$Q$32,7)*VLOOKUP("Bi-214",Doses!$A$1:$O$40,15)*$B71,0)</f>
        <v>9.1129342028294626</v>
      </c>
      <c r="M71" s="110">
        <f t="shared" si="72"/>
        <v>0.42677776769008047</v>
      </c>
      <c r="N71" s="122">
        <f t="shared" si="73"/>
        <v>0.29266013796527834</v>
      </c>
      <c r="O71" s="122">
        <f t="shared" si="74"/>
        <v>0.38753954248575795</v>
      </c>
      <c r="P71" s="122">
        <f t="shared" si="75"/>
        <v>0.4026668378887</v>
      </c>
      <c r="Q71" s="112">
        <f t="shared" si="76"/>
        <v>0.33717856550469044</v>
      </c>
    </row>
    <row r="72" spans="1:17" ht="15">
      <c r="A72" s="108" t="s">
        <v>159</v>
      </c>
      <c r="B72" s="109">
        <v>0.99979000004200003</v>
      </c>
      <c r="C72" s="127"/>
      <c r="D72" s="127"/>
      <c r="E72" s="127"/>
      <c r="F72" s="127"/>
      <c r="G72" s="127"/>
      <c r="H72" s="110">
        <f>IFERROR(VLOOKUP("Po-214",$A$4:$Q$32,3)*VLOOKUP("Po-214",Doses!$A$1:$O$40,9)*$B72,0)</f>
        <v>9.704393656609732E-4</v>
      </c>
      <c r="I72" s="122">
        <f>IFERROR(VLOOKUP("Po-214",$A$4:$Q$32,4)*VLOOKUP("Po-214",Doses!$A$1:$O$40,12)*$B72,0)</f>
        <v>6.0242520369522168E-4</v>
      </c>
      <c r="J72" s="122">
        <f>IFERROR(VLOOKUP("Po-214",$A$4:$Q$32,5)*VLOOKUP("Po-214",Doses!$A$1:$O$40,13)*$B72,0)</f>
        <v>8.3717959231407785E-4</v>
      </c>
      <c r="K72" s="122">
        <f>IFERROR(VLOOKUP("Po-214",$A$4:$Q$32,6)*VLOOKUP("Po-214",Doses!$A$1:$O$40,14)*$B72,0)</f>
        <v>8.5864735572677685E-4</v>
      </c>
      <c r="L72" s="122">
        <f>IFERROR(VLOOKUP("Po-214",$A$4:$Q$32,7)*VLOOKUP("Po-214",Doses!$A$1:$O$40,15)*$B72,0)</f>
        <v>7.4456137598920042E-4</v>
      </c>
      <c r="M72" s="110">
        <f t="shared" si="72"/>
        <v>3.5906256529456048E-5</v>
      </c>
      <c r="N72" s="122">
        <f t="shared" si="73"/>
        <v>2.2289732536723225E-5</v>
      </c>
      <c r="O72" s="122">
        <f t="shared" si="74"/>
        <v>3.0975644915620914E-5</v>
      </c>
      <c r="P72" s="122">
        <f t="shared" si="75"/>
        <v>3.1769952161890776E-5</v>
      </c>
      <c r="Q72" s="112">
        <f t="shared" si="76"/>
        <v>2.7548770911600443E-5</v>
      </c>
    </row>
    <row r="73" spans="1:17" ht="15">
      <c r="A73" s="108" t="s">
        <v>160</v>
      </c>
      <c r="B73" s="109">
        <v>2.0999995799999999E-4</v>
      </c>
      <c r="C73" s="127"/>
      <c r="D73" s="127"/>
      <c r="E73" s="127"/>
      <c r="F73" s="127"/>
      <c r="G73" s="127"/>
      <c r="H73" s="110">
        <f>IFERROR(VLOOKUP("Tl-210",$A$4:$Q$32,3)*VLOOKUP("Tl-210",Doses!$A$1:$O$40,9)*$B73,0)</f>
        <v>5.8264047121474195E-3</v>
      </c>
      <c r="I73" s="122">
        <f>IFERROR(VLOOKUP("Tl-210",$A$4:$Q$32,4)*VLOOKUP("Tl-210",Doses!$A$1:$O$40,12)*$B73,0)</f>
        <v>4.7979798680992105E-3</v>
      </c>
      <c r="J73" s="122">
        <f>IFERROR(VLOOKUP("Tl-210",$A$4:$Q$32,5)*VLOOKUP("Tl-210",Doses!$A$1:$O$40,13)*$B73,0)</f>
        <v>5.714976066489832E-3</v>
      </c>
      <c r="K73" s="122">
        <f>IFERROR(VLOOKUP("Tl-210",$A$4:$Q$32,6)*VLOOKUP("Tl-210",Doses!$A$1:$O$40,14)*$B73,0)</f>
        <v>5.8143983882620407E-3</v>
      </c>
      <c r="L73" s="122">
        <f>IFERROR(VLOOKUP("Tl-210",$A$4:$Q$32,7)*VLOOKUP("Tl-210",Doses!$A$1:$O$40,15)*$B73,0)</f>
        <v>4.9717008944354787E-3</v>
      </c>
      <c r="M73" s="110">
        <f t="shared" si="72"/>
        <v>2.1557697434945473E-4</v>
      </c>
      <c r="N73" s="122">
        <f t="shared" si="73"/>
        <v>1.7752525511967096E-4</v>
      </c>
      <c r="O73" s="122">
        <f t="shared" si="74"/>
        <v>2.1145411446012399E-4</v>
      </c>
      <c r="P73" s="122">
        <f t="shared" si="75"/>
        <v>2.1513274036569571E-4</v>
      </c>
      <c r="Q73" s="112">
        <f t="shared" si="76"/>
        <v>1.8395293309411291E-4</v>
      </c>
    </row>
    <row r="74" spans="1:17" ht="15">
      <c r="A74" s="108" t="s">
        <v>161</v>
      </c>
      <c r="B74" s="109">
        <v>1</v>
      </c>
      <c r="C74" s="127"/>
      <c r="D74" s="127"/>
      <c r="E74" s="127"/>
      <c r="F74" s="127"/>
      <c r="G74" s="127"/>
      <c r="H74" s="110">
        <f>IFERROR(VLOOKUP("Pb-210",$A$4:$Q$32,3)*VLOOKUP("Pb-210",Doses!$A$1:$O$40,9)*$B74,0)</f>
        <v>1.1708775980376713</v>
      </c>
      <c r="I74" s="122">
        <f>IFERROR(VLOOKUP("Pb-210",$A$4:$Q$32,4)*VLOOKUP("Pb-210",Doses!$A$1:$O$40,12)*$B74,0)</f>
        <v>5.3133371037460044</v>
      </c>
      <c r="J74" s="122">
        <f>IFERROR(VLOOKUP("Pb-210",$A$4:$Q$32,5)*VLOOKUP("Pb-210",Doses!$A$1:$O$40,13)*$B74,0)</f>
        <v>2.5961223041780821</v>
      </c>
      <c r="K74" s="122">
        <f>IFERROR(VLOOKUP("Pb-210",$A$4:$Q$32,6)*VLOOKUP("Pb-210",Doses!$A$1:$O$40,14)*$B74,0)</f>
        <v>2.5676841139960049</v>
      </c>
      <c r="L74" s="122">
        <f>IFERROR(VLOOKUP("Pb-210",$A$4:$Q$32,7)*VLOOKUP("Pb-210",Doses!$A$1:$O$40,15)*$B74,0)</f>
        <v>2.4129220464275112</v>
      </c>
      <c r="M74" s="110">
        <f t="shared" si="72"/>
        <v>4.3322471127393881E-2</v>
      </c>
      <c r="N74" s="122">
        <f t="shared" si="73"/>
        <v>0.19659347283860237</v>
      </c>
      <c r="O74" s="122">
        <f t="shared" si="74"/>
        <v>9.6056525254589131E-2</v>
      </c>
      <c r="P74" s="122">
        <f t="shared" si="75"/>
        <v>9.5004312217852285E-2</v>
      </c>
      <c r="Q74" s="112">
        <f t="shared" si="76"/>
        <v>8.9278115717818005E-2</v>
      </c>
    </row>
    <row r="75" spans="1:17" ht="15">
      <c r="A75" s="108" t="s">
        <v>162</v>
      </c>
      <c r="B75" s="109">
        <v>1</v>
      </c>
      <c r="C75" s="127"/>
      <c r="D75" s="127"/>
      <c r="E75" s="127"/>
      <c r="F75" s="127"/>
      <c r="G75" s="127"/>
      <c r="H75" s="110">
        <f>IFERROR(VLOOKUP("Bi-210",$A$4:$Q$32,3)*VLOOKUP("Bi-210",Doses!$A$1:$O$40,9)*$B75,0)</f>
        <v>9.8038013023173518E-6</v>
      </c>
      <c r="I75" s="122">
        <f>IFERROR(VLOOKUP("Bi-210",$A$4:$Q$32,4)*VLOOKUP("Bi-210",Doses!$A$1:$O$40,12)*$B75,0)</f>
        <v>9.9509128614098164E-6</v>
      </c>
      <c r="J75" s="122">
        <f>IFERROR(VLOOKUP("Bi-210",$A$4:$Q$32,5)*VLOOKUP("Bi-210",Doses!$A$1:$O$40,13)*$B75,0)</f>
        <v>1.1578463816797945E-5</v>
      </c>
      <c r="K75" s="122">
        <f>IFERROR(VLOOKUP("Bi-210",$A$4:$Q$32,6)*VLOOKUP("Bi-210",Doses!$A$1:$O$40,14)*$B75,0)</f>
        <v>1.1584123343293379E-5</v>
      </c>
      <c r="L75" s="122">
        <f>IFERROR(VLOOKUP("Bi-210",$A$4:$Q$32,7)*VLOOKUP("Bi-210",Doses!$A$1:$O$40,15)*$B75,0)</f>
        <v>9.8151649660216898E-6</v>
      </c>
      <c r="M75" s="110">
        <f t="shared" si="72"/>
        <v>3.6274064818574236E-7</v>
      </c>
      <c r="N75" s="122">
        <f t="shared" si="73"/>
        <v>3.6818377587216356E-7</v>
      </c>
      <c r="O75" s="122">
        <f t="shared" si="74"/>
        <v>4.284031612215244E-7</v>
      </c>
      <c r="P75" s="122">
        <f t="shared" si="75"/>
        <v>4.2861256370185547E-7</v>
      </c>
      <c r="Q75" s="112">
        <f t="shared" si="76"/>
        <v>3.631611037428029E-7</v>
      </c>
    </row>
    <row r="76" spans="1:17" ht="15">
      <c r="A76" s="108" t="s">
        <v>164</v>
      </c>
      <c r="B76" s="109">
        <v>1</v>
      </c>
      <c r="C76" s="127"/>
      <c r="D76" s="127"/>
      <c r="E76" s="127"/>
      <c r="F76" s="127"/>
      <c r="G76" s="127"/>
      <c r="H76" s="110">
        <f>IFERROR(VLOOKUP("Po-210",$A$4:$Q$32,3)*VLOOKUP("Po-210",Doses!$A$1:$O$40,9)*$B76,0)</f>
        <v>1.1285320394760274E-4</v>
      </c>
      <c r="I76" s="122">
        <f>IFERROR(VLOOKUP("Po-210",$A$4:$Q$32,4)*VLOOKUP("Po-210",Doses!$A$1:$O$40,12)*$B76,0)</f>
        <v>7.0031290262271691E-5</v>
      </c>
      <c r="J76" s="122">
        <f>IFERROR(VLOOKUP("Po-210",$A$4:$Q$32,5)*VLOOKUP("Po-210",Doses!$A$1:$O$40,13)*$B76,0)</f>
        <v>9.7311917372773981E-5</v>
      </c>
      <c r="K76" s="122">
        <f>IFERROR(VLOOKUP("Po-210",$A$4:$Q$32,6)*VLOOKUP("Po-210",Doses!$A$1:$O$40,14)*$B76,0)</f>
        <v>9.9682459582762565E-5</v>
      </c>
      <c r="L76" s="122">
        <f>IFERROR(VLOOKUP("Po-210",$A$4:$Q$32,7)*VLOOKUP("Po-210",Doses!$A$1:$O$40,15)*$B76,0)</f>
        <v>8.6493884680022829E-5</v>
      </c>
      <c r="M76" s="110">
        <f t="shared" si="72"/>
        <v>4.175568546061306E-6</v>
      </c>
      <c r="N76" s="122">
        <f t="shared" si="73"/>
        <v>2.591157739704055E-6</v>
      </c>
      <c r="O76" s="122">
        <f t="shared" si="74"/>
        <v>3.6005409427926409E-6</v>
      </c>
      <c r="P76" s="122">
        <f t="shared" si="75"/>
        <v>3.6882510045622186E-6</v>
      </c>
      <c r="Q76" s="112">
        <f t="shared" si="76"/>
        <v>3.2002737331608477E-6</v>
      </c>
    </row>
    <row r="77" spans="1:17" ht="15">
      <c r="A77" s="108" t="s">
        <v>163</v>
      </c>
      <c r="B77" s="109">
        <v>1.9000000000000001E-8</v>
      </c>
      <c r="C77" s="127"/>
      <c r="D77" s="127"/>
      <c r="E77" s="127"/>
      <c r="F77" s="127"/>
      <c r="G77" s="127"/>
      <c r="H77" s="110">
        <f>IFERROR(VLOOKUP("Hg-206",$A$4:$Q$32,3)*VLOOKUP("Hg-206",Doses!$A$1:$O$40,9)*$B77,0)</f>
        <v>6.4322511679118154E-8</v>
      </c>
      <c r="I77" s="122">
        <f>IFERROR(VLOOKUP("Hg-206",$A$4:$Q$32,4)*VLOOKUP("Hg-206",Doses!$A$1:$O$40,12)*$B77,0)</f>
        <v>6.9319695322631283E-8</v>
      </c>
      <c r="J77" s="122">
        <f>IFERROR(VLOOKUP("Hg-206",$A$4:$Q$32,5)*VLOOKUP("Hg-206",Doses!$A$1:$O$40,13)*$B77,0)</f>
        <v>7.8840929996840748E-8</v>
      </c>
      <c r="K77" s="122">
        <f>IFERROR(VLOOKUP("Hg-206",$A$4:$Q$32,6)*VLOOKUP("Hg-206",Doses!$A$1:$O$40,14)*$B77,0)</f>
        <v>7.8015328988553663E-8</v>
      </c>
      <c r="L77" s="122">
        <f>IFERROR(VLOOKUP("Hg-206",$A$4:$Q$32,7)*VLOOKUP("Hg-206",Doses!$A$1:$O$40,15)*$B77,0)</f>
        <v>6.5863743929613016E-8</v>
      </c>
      <c r="M77" s="110">
        <f t="shared" si="72"/>
        <v>2.3799329321273742E-9</v>
      </c>
      <c r="N77" s="122">
        <f t="shared" si="73"/>
        <v>2.5648287269373601E-9</v>
      </c>
      <c r="O77" s="122">
        <f t="shared" si="74"/>
        <v>2.9171144098831108E-9</v>
      </c>
      <c r="P77" s="122">
        <f t="shared" si="75"/>
        <v>2.8865671725764884E-9</v>
      </c>
      <c r="Q77" s="112">
        <f t="shared" si="76"/>
        <v>2.4369585253956841E-9</v>
      </c>
    </row>
    <row r="78" spans="1:17" ht="15.75" thickBot="1">
      <c r="A78" s="108" t="s">
        <v>165</v>
      </c>
      <c r="B78" s="109">
        <v>1.339E-6</v>
      </c>
      <c r="C78" s="127"/>
      <c r="D78" s="127"/>
      <c r="E78" s="127"/>
      <c r="F78" s="127"/>
      <c r="G78" s="127"/>
      <c r="H78" s="117">
        <f>IFERROR(VLOOKUP("Tl-206",$A$4:$Q$32,3)*VLOOKUP("Tl-206",Doses!$A$1:$O$40,9)*$B78,0)</f>
        <v>7.0752581495189201E-9</v>
      </c>
      <c r="I78" s="118">
        <f>IFERROR(VLOOKUP("Tl-206",$A$4:$Q$32,4)*VLOOKUP("Tl-206",Doses!$A$1:$O$40,12)*$B78,0)</f>
        <v>1.5938795691073309E-8</v>
      </c>
      <c r="J78" s="118">
        <f>IFERROR(VLOOKUP("Tl-206",$A$4:$Q$32,5)*VLOOKUP("Tl-206",Doses!$A$1:$O$40,13)*$B78,0)</f>
        <v>1.2892906735776256E-8</v>
      </c>
      <c r="K78" s="118">
        <f>IFERROR(VLOOKUP("Tl-206",$A$4:$Q$32,6)*VLOOKUP("Tl-206",Doses!$A$1:$O$40,14)*$B78,0)</f>
        <v>1.0216326222347843E-8</v>
      </c>
      <c r="L78" s="118">
        <f>IFERROR(VLOOKUP("Tl-206",$A$4:$Q$32,7)*VLOOKUP("Tl-206",Doses!$A$1:$O$40,15)*$B78,0)</f>
        <v>1.0703337157886662E-8</v>
      </c>
      <c r="M78" s="117">
        <f t="shared" si="72"/>
        <v>2.617845515322003E-10</v>
      </c>
      <c r="N78" s="118">
        <f t="shared" si="73"/>
        <v>5.8973544056971302E-10</v>
      </c>
      <c r="O78" s="118">
        <f t="shared" si="74"/>
        <v>4.77037549223722E-10</v>
      </c>
      <c r="P78" s="118">
        <f t="shared" si="75"/>
        <v>3.7800407022687054E-10</v>
      </c>
      <c r="Q78" s="119">
        <f t="shared" si="76"/>
        <v>3.9602347484180689E-10</v>
      </c>
    </row>
  </sheetData>
  <sheetProtection algorithmName="SHA-512" hashValue="hBv8/6zhXMzmnimez9lmErmWSX0tpg7MqCKw8L05zZM5/NMIPS8+pFBIj3iDmy+D1be1F/QN4kMWA0G4Ck0Uog==" saltValue="FNl4nKBJWMMw0skAvRlPPA==" spinCount="100000" sheet="1" formatCells="0" formatColumns="0" formatRows="0" insertColumns="0" insertRows="0" autoFilter="0"/>
  <autoFilter ref="A2:Q78" xr:uid="{00000000-0009-0000-0000-000013000000}"/>
  <mergeCells count="3">
    <mergeCell ref="H1:L1"/>
    <mergeCell ref="M1:Q1"/>
    <mergeCell ref="C1:G1"/>
  </mergeCells>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79998168889431442"/>
  </sheetPr>
  <dimension ref="A1:J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4" width="12" style="22" customWidth="1"/>
    <col min="5" max="5" width="13.7109375" style="22" bestFit="1" customWidth="1"/>
    <col min="6" max="6" width="13.85546875" style="22" bestFit="1" customWidth="1"/>
    <col min="7" max="7" width="13.42578125" style="22" bestFit="1" customWidth="1"/>
    <col min="8" max="8" width="13.7109375" style="22" bestFit="1" customWidth="1"/>
    <col min="9" max="9" width="13.85546875" style="22" bestFit="1" customWidth="1"/>
    <col min="10" max="10" width="13.42578125" style="22" bestFit="1" customWidth="1"/>
  </cols>
  <sheetData>
    <row r="1" spans="1:10" ht="13.5" thickBot="1">
      <c r="C1" s="147" t="s">
        <v>227</v>
      </c>
      <c r="D1" s="148"/>
      <c r="E1" s="140" t="s">
        <v>51</v>
      </c>
      <c r="F1" s="141"/>
      <c r="G1" s="141"/>
      <c r="H1" s="140" t="s">
        <v>100</v>
      </c>
      <c r="I1" s="141"/>
      <c r="J1" s="141"/>
    </row>
    <row r="2" spans="1:10">
      <c r="A2" s="11" t="s">
        <v>0</v>
      </c>
      <c r="B2" s="11" t="s">
        <v>43</v>
      </c>
      <c r="C2" s="91" t="s">
        <v>121</v>
      </c>
      <c r="D2" s="92" t="s">
        <v>122</v>
      </c>
      <c r="E2" s="35" t="s">
        <v>121</v>
      </c>
      <c r="F2" s="36" t="s">
        <v>122</v>
      </c>
      <c r="G2" s="38" t="s">
        <v>123</v>
      </c>
      <c r="H2" s="35" t="s">
        <v>121</v>
      </c>
      <c r="I2" s="36" t="s">
        <v>122</v>
      </c>
      <c r="J2" s="36" t="s">
        <v>123</v>
      </c>
    </row>
    <row r="3" spans="1:10" ht="13.5" thickBot="1">
      <c r="B3" s="26" t="s">
        <v>44</v>
      </c>
      <c r="C3" s="93" t="s">
        <v>218</v>
      </c>
      <c r="D3" s="94" t="s">
        <v>218</v>
      </c>
      <c r="E3" s="100" t="s">
        <v>219</v>
      </c>
      <c r="F3" s="101" t="s">
        <v>219</v>
      </c>
      <c r="G3" s="102" t="s">
        <v>219</v>
      </c>
      <c r="H3" s="100" t="s">
        <v>219</v>
      </c>
      <c r="I3" s="101" t="s">
        <v>219</v>
      </c>
      <c r="J3" s="102" t="s">
        <v>219</v>
      </c>
    </row>
    <row r="4" spans="1:10">
      <c r="A4" s="82" t="s">
        <v>23</v>
      </c>
      <c r="B4" s="12" t="s">
        <v>50</v>
      </c>
      <c r="C4" s="95">
        <f t="shared" ref="C4:C5" si="0">IFERROR(s_C*k_decay_iw*s_IFDiw*s_Fin*s_Fi,".")</f>
        <v>416585.66402924934</v>
      </c>
      <c r="D4" s="96">
        <f>IFERROR(s_C*k_decay*s_Fin*s_Fi*s_Fam*s_Foff*s_ETiw*(1/24)*s_EFiw*(1/365)*Isospec!R3,".")</f>
        <v>1.0968631609380699</v>
      </c>
      <c r="E4" s="95">
        <f>C4*Doses!C2</f>
        <v>2082928.3201462468</v>
      </c>
      <c r="F4" s="126">
        <f>D4*Doses!L2</f>
        <v>5.4843158046903495</v>
      </c>
      <c r="G4" s="103">
        <f>SUM((C4*Doses!C2),(D4*Doses!L2))</f>
        <v>2082933.8044620515</v>
      </c>
      <c r="H4" s="95">
        <f t="shared" ref="H4:H5" si="1">E4/s_1_bq</f>
        <v>77068.347845411205</v>
      </c>
      <c r="I4" s="126">
        <f t="shared" ref="I4:I5" si="2">F4/s_1_bq</f>
        <v>0.20291968477354314</v>
      </c>
      <c r="J4" s="103">
        <f t="shared" ref="J4:J5" si="3">G4/s_1_bq</f>
        <v>77068.550765095977</v>
      </c>
    </row>
    <row r="5" spans="1:10">
      <c r="A5" s="83" t="s">
        <v>14</v>
      </c>
      <c r="B5" s="12" t="s">
        <v>44</v>
      </c>
      <c r="C5" s="95">
        <f t="shared" si="0"/>
        <v>416585.66402924934</v>
      </c>
      <c r="D5" s="96">
        <f>IFERROR(s_C*k_decay*s_Fin*s_Fi*s_Fam*s_Foff*s_ETiw*(1/24)*s_EFiw*(1/365)*Isospec!R4,".")</f>
        <v>1.0000229899723663</v>
      </c>
      <c r="E5" s="95">
        <f>C5*Doses!C3</f>
        <v>2082928.3201462468</v>
      </c>
      <c r="F5" s="126">
        <f>D5*Doses!L3</f>
        <v>5.0001149498618318</v>
      </c>
      <c r="G5" s="103">
        <f>SUM((C5*Doses!C3),(D5*Doses!L3))</f>
        <v>2082933.3202611967</v>
      </c>
      <c r="H5" s="95">
        <f t="shared" si="1"/>
        <v>77068.347845411205</v>
      </c>
      <c r="I5" s="126">
        <f t="shared" si="2"/>
        <v>0.18500425314488797</v>
      </c>
      <c r="J5" s="103">
        <f t="shared" si="3"/>
        <v>77068.532849664349</v>
      </c>
    </row>
    <row r="6" spans="1:10">
      <c r="A6" s="82" t="s">
        <v>15</v>
      </c>
      <c r="B6" s="12" t="s">
        <v>50</v>
      </c>
      <c r="C6" s="95">
        <f t="shared" ref="C6:C8" si="4">IFERROR(s_C*k_decay_iw*s_IFDiw*s_Fin*s_Fi,".")</f>
        <v>416585.66402924934</v>
      </c>
      <c r="D6" s="96">
        <f>IFERROR(s_C*k_decay*s_Fin*s_Fi*s_Fam*s_Foff*s_ETiw*(1/24)*s_EFiw*(1/365)*Isospec!R5,".")</f>
        <v>0.54546708543947264</v>
      </c>
      <c r="E6" s="95">
        <f>C6*Doses!C4</f>
        <v>2082928.3201462468</v>
      </c>
      <c r="F6" s="126">
        <f>D6*Doses!L4</f>
        <v>2.7273354271973633</v>
      </c>
      <c r="G6" s="103">
        <f>SUM((C6*Doses!C4),(D6*Doses!L4))</f>
        <v>2082931.047481674</v>
      </c>
      <c r="H6" s="95">
        <f t="shared" ref="H6:H8" si="5">E6/s_1_bq</f>
        <v>77068.347845411205</v>
      </c>
      <c r="I6" s="126">
        <f t="shared" ref="I6:I8" si="6">F6/s_1_bq</f>
        <v>0.10091141080630255</v>
      </c>
      <c r="J6" s="103">
        <f t="shared" ref="J6:J8" si="7">G6/s_1_bq</f>
        <v>77068.448756822021</v>
      </c>
    </row>
    <row r="7" spans="1:10">
      <c r="A7" s="82" t="s">
        <v>16</v>
      </c>
      <c r="B7" s="84" t="s">
        <v>50</v>
      </c>
      <c r="C7" s="95">
        <f t="shared" si="4"/>
        <v>416585.66402924934</v>
      </c>
      <c r="D7" s="96">
        <f>IFERROR(s_C*k_decay*s_Fin*s_Fi*s_Fam*s_Foff*s_ETiw*(1/24)*s_EFiw*(1/365)*Isospec!R6,".")</f>
        <v>1.7786970177374104</v>
      </c>
      <c r="E7" s="95">
        <f>C7*Doses!C5</f>
        <v>2082928.3201462468</v>
      </c>
      <c r="F7" s="126">
        <f>D7*Doses!L5</f>
        <v>8.8934850886870525</v>
      </c>
      <c r="G7" s="103">
        <f>SUM((C7*Doses!C5),(D7*Doses!L5))</f>
        <v>2082937.2136313354</v>
      </c>
      <c r="H7" s="95">
        <f t="shared" si="5"/>
        <v>77068.347845411205</v>
      </c>
      <c r="I7" s="126">
        <f t="shared" si="6"/>
        <v>0.32905894828142129</v>
      </c>
      <c r="J7" s="103">
        <f t="shared" si="7"/>
        <v>77068.676904359483</v>
      </c>
    </row>
    <row r="8" spans="1:10">
      <c r="A8" s="82" t="s">
        <v>18</v>
      </c>
      <c r="B8" s="12" t="s">
        <v>50</v>
      </c>
      <c r="C8" s="95">
        <f t="shared" si="4"/>
        <v>416585.66402924934</v>
      </c>
      <c r="D8" s="96">
        <f>IFERROR(s_C*k_decay*s_Fin*s_Fi*s_Fam*s_Foff*s_ETiw*(1/24)*s_EFiw*(1/365)*Isospec!R7,".")</f>
        <v>0.44072159439493613</v>
      </c>
      <c r="E8" s="95">
        <f>C8*Doses!C6</f>
        <v>2082928.3201462468</v>
      </c>
      <c r="F8" s="126">
        <f>D8*Doses!L6</f>
        <v>2.2036079719746806</v>
      </c>
      <c r="G8" s="103">
        <f>SUM((C8*Doses!C6),(D8*Doses!L6))</f>
        <v>2082930.5237542188</v>
      </c>
      <c r="H8" s="95">
        <f t="shared" si="5"/>
        <v>77068.347845411205</v>
      </c>
      <c r="I8" s="126">
        <f t="shared" si="6"/>
        <v>8.1533494963063266E-2</v>
      </c>
      <c r="J8" s="103">
        <f t="shared" si="7"/>
        <v>77068.429378906178</v>
      </c>
    </row>
    <row r="9" spans="1:10">
      <c r="A9" s="82" t="s">
        <v>19</v>
      </c>
      <c r="B9" s="85" t="s">
        <v>50</v>
      </c>
      <c r="C9" s="95">
        <f t="shared" ref="C9:C11" si="8">IFERROR(s_C*k_decay_iw*s_IFDiw*s_Fin*s_Fi,".")</f>
        <v>416585.66402924934</v>
      </c>
      <c r="D9" s="96">
        <f>IFERROR(s_C*k_decay*s_Fin*s_Fi*s_Fam*s_Foff*s_ETiw*(1/24)*s_EFiw*(1/365)*Isospec!R8,".")</f>
        <v>0.50989314508472439</v>
      </c>
      <c r="E9" s="95">
        <f>C9*Doses!C7</f>
        <v>2082928.3201462468</v>
      </c>
      <c r="F9" s="126">
        <f>D9*Doses!L7</f>
        <v>2.5494657254236222</v>
      </c>
      <c r="G9" s="103">
        <f>SUM((C9*Doses!C7),(D9*Doses!L7))</f>
        <v>2082930.8696119722</v>
      </c>
      <c r="H9" s="95">
        <f t="shared" ref="H9:H11" si="9">E9/s_1_bq</f>
        <v>77068.347845411205</v>
      </c>
      <c r="I9" s="126">
        <f t="shared" ref="I9:I11" si="10">F9/s_1_bq</f>
        <v>9.4330231840674114E-2</v>
      </c>
      <c r="J9" s="103">
        <f t="shared" ref="J9:J11" si="11">G9/s_1_bq</f>
        <v>77068.442175643053</v>
      </c>
    </row>
    <row r="10" spans="1:10">
      <c r="A10" s="82" t="s">
        <v>20</v>
      </c>
      <c r="B10" s="12" t="s">
        <v>50</v>
      </c>
      <c r="C10" s="95">
        <f t="shared" si="8"/>
        <v>416585.66402924934</v>
      </c>
      <c r="D10" s="96">
        <f>IFERROR(s_C*k_decay*s_Fin*s_Fi*s_Fam*s_Foff*s_ETiw*(1/24)*s_EFiw*(1/365)*Isospec!R9,".")</f>
        <v>0.46443755463143493</v>
      </c>
      <c r="E10" s="95">
        <f>C10*Doses!C8</f>
        <v>2082928.3201462468</v>
      </c>
      <c r="F10" s="126">
        <f>D10*Doses!L8</f>
        <v>2.3221877731571747</v>
      </c>
      <c r="G10" s="103">
        <f>SUM((C10*Doses!C8),(D10*Doses!L8))</f>
        <v>2082930.64233402</v>
      </c>
      <c r="H10" s="95">
        <f t="shared" si="9"/>
        <v>77068.347845411205</v>
      </c>
      <c r="I10" s="126">
        <f t="shared" si="10"/>
        <v>8.5920947606815554E-2</v>
      </c>
      <c r="J10" s="103">
        <f t="shared" si="11"/>
        <v>77068.433766358823</v>
      </c>
    </row>
    <row r="11" spans="1:10">
      <c r="A11" s="82" t="s">
        <v>21</v>
      </c>
      <c r="B11" s="85" t="s">
        <v>50</v>
      </c>
      <c r="C11" s="95">
        <f t="shared" si="8"/>
        <v>416585.66402924934</v>
      </c>
      <c r="D11" s="96">
        <f>IFERROR(s_C*k_decay*s_Fin*s_Fi*s_Fam*s_Foff*s_ETiw*(1/24)*s_EFiw*(1/365)*Isospec!R10,".")</f>
        <v>0.41898196417814554</v>
      </c>
      <c r="E11" s="95">
        <f>C11*Doses!C9</f>
        <v>2082928.3201462468</v>
      </c>
      <c r="F11" s="126">
        <f>D11*Doses!L9</f>
        <v>2.0949098208907277</v>
      </c>
      <c r="G11" s="103">
        <f>SUM((C11*Doses!C9),(D11*Doses!L9))</f>
        <v>2082930.4150560678</v>
      </c>
      <c r="H11" s="95">
        <f t="shared" si="9"/>
        <v>77068.347845411205</v>
      </c>
      <c r="I11" s="126">
        <f t="shared" si="10"/>
        <v>7.7511663372957007E-2</v>
      </c>
      <c r="J11" s="103">
        <f t="shared" si="11"/>
        <v>77068.425357074579</v>
      </c>
    </row>
    <row r="12" spans="1:10">
      <c r="A12" s="83" t="s">
        <v>17</v>
      </c>
      <c r="B12" s="12" t="s">
        <v>44</v>
      </c>
      <c r="C12" s="95">
        <f t="shared" ref="C12" si="12">IFERROR(s_C*k_decay_iw*s_IFDiw*s_Fin*s_Fi,".")</f>
        <v>416585.66402924934</v>
      </c>
      <c r="D12" s="96">
        <f>IFERROR(s_C*k_decay*s_Fin*s_Fi*s_Fam*s_Foff*s_ETiw*(1/24)*s_EFiw*(1/365)*Isospec!R11,".")</f>
        <v>0.46641388465114314</v>
      </c>
      <c r="E12" s="95">
        <f>C12*Doses!C10</f>
        <v>2082928.3201462468</v>
      </c>
      <c r="F12" s="126">
        <f>D12*Doses!L10</f>
        <v>2.3320694232557155</v>
      </c>
      <c r="G12" s="103">
        <f>SUM((C12*Doses!C10),(D12*Doses!L10))</f>
        <v>2082930.6522156701</v>
      </c>
      <c r="H12" s="95">
        <f t="shared" ref="H12" si="13">E12/s_1_bq</f>
        <v>77068.347845411205</v>
      </c>
      <c r="I12" s="126">
        <f t="shared" ref="I12" si="14">F12/s_1_bq</f>
        <v>8.6286568660461568E-2</v>
      </c>
      <c r="J12" s="103">
        <f t="shared" ref="J12" si="15">G12/s_1_bq</f>
        <v>77068.43413197987</v>
      </c>
    </row>
    <row r="13" spans="1:10">
      <c r="A13" s="82" t="s">
        <v>24</v>
      </c>
      <c r="B13" s="12" t="s">
        <v>50</v>
      </c>
      <c r="C13" s="95">
        <f t="shared" ref="C13" si="16">IFERROR(s_C*k_decay_iw*s_IFDiw*s_Fin*s_Fi,".")</f>
        <v>416585.66402924934</v>
      </c>
      <c r="D13" s="96">
        <f>IFERROR(s_C*k_decay*s_Fin*s_Fi*s_Fam*s_Foff*s_ETiw*(1/24)*s_EFiw*(1/365)*Isospec!R12,".")</f>
        <v>0.57708836575480427</v>
      </c>
      <c r="E13" s="95">
        <f>C13*Doses!C11</f>
        <v>2082928.3201462468</v>
      </c>
      <c r="F13" s="126">
        <f>D13*Doses!L11</f>
        <v>2.8854418287740211</v>
      </c>
      <c r="G13" s="103">
        <f>SUM((C13*Doses!C11),(D13*Doses!L11))</f>
        <v>2082931.2055880756</v>
      </c>
      <c r="H13" s="95">
        <f t="shared" ref="H13" si="17">E13/s_1_bq</f>
        <v>77068.347845411205</v>
      </c>
      <c r="I13" s="126">
        <f t="shared" ref="I13" si="18">F13/s_1_bq</f>
        <v>0.10676134766463889</v>
      </c>
      <c r="J13" s="103">
        <f t="shared" ref="J13" si="19">G13/s_1_bq</f>
        <v>77068.454606758867</v>
      </c>
    </row>
    <row r="14" spans="1:10">
      <c r="A14" s="82" t="s">
        <v>22</v>
      </c>
      <c r="B14" s="84" t="s">
        <v>50</v>
      </c>
      <c r="C14" s="95">
        <f t="shared" ref="C14" si="20">IFERROR(s_C*k_decay_iw*s_IFDiw*s_Fin*s_Fi,".")</f>
        <v>416585.66402924934</v>
      </c>
      <c r="D14" s="96">
        <f>IFERROR(s_C*k_decay*s_Fin*s_Fi*s_Fam*s_Foff*s_ETiw*(1/24)*s_EFiw*(1/365)*Isospec!R13,".")</f>
        <v>0.50594048504530786</v>
      </c>
      <c r="E14" s="95">
        <f>C14*Doses!C12</f>
        <v>2082928.3201462468</v>
      </c>
      <c r="F14" s="126">
        <f>D14*Doses!L12</f>
        <v>2.5297024252265392</v>
      </c>
      <c r="G14" s="103">
        <f>SUM((C14*Doses!C12),(D14*Doses!L12))</f>
        <v>2082930.849848672</v>
      </c>
      <c r="H14" s="95">
        <f t="shared" ref="H14" si="21">E14/s_1_bq</f>
        <v>77068.347845411205</v>
      </c>
      <c r="I14" s="126">
        <f t="shared" ref="I14" si="22">F14/s_1_bq</f>
        <v>9.3598989733382043E-2</v>
      </c>
      <c r="J14" s="103">
        <f t="shared" ref="J14" si="23">G14/s_1_bq</f>
        <v>77068.441444400945</v>
      </c>
    </row>
    <row r="15" spans="1:10">
      <c r="A15" s="82" t="s">
        <v>28</v>
      </c>
      <c r="B15" s="12" t="s">
        <v>50</v>
      </c>
      <c r="C15" s="95">
        <f t="shared" ref="C15:C16" si="24">IFERROR(s_C*k_decay_iw*s_IFDiw*s_Fin*s_Fi,".")</f>
        <v>416585.66402924934</v>
      </c>
      <c r="D15" s="96">
        <f>IFERROR(s_C*k_decay*s_Fin*s_Fi*s_Fam*s_Foff*s_ETiw*(1/24)*s_EFiw*(1/365)*Isospec!R14,".")</f>
        <v>1.0691945406621546</v>
      </c>
      <c r="E15" s="95">
        <f>C15*Doses!C13</f>
        <v>2082928.3201462468</v>
      </c>
      <c r="F15" s="126">
        <f>D15*Doses!L13</f>
        <v>5.3459727033107729</v>
      </c>
      <c r="G15" s="103">
        <f>SUM((C15*Doses!C13),(D15*Doses!L13))</f>
        <v>2082933.6661189501</v>
      </c>
      <c r="H15" s="95">
        <f t="shared" ref="H15:H16" si="25">E15/s_1_bq</f>
        <v>77068.347845411205</v>
      </c>
      <c r="I15" s="126">
        <f t="shared" ref="I15:I16" si="26">F15/s_1_bq</f>
        <v>0.19780099002249879</v>
      </c>
      <c r="J15" s="103">
        <f t="shared" ref="J15:J16" si="27">G15/s_1_bq</f>
        <v>77068.545646401239</v>
      </c>
    </row>
    <row r="16" spans="1:10">
      <c r="A16" s="82" t="s">
        <v>29</v>
      </c>
      <c r="B16" s="12" t="s">
        <v>50</v>
      </c>
      <c r="C16" s="95">
        <f t="shared" si="24"/>
        <v>416585.66402924934</v>
      </c>
      <c r="D16" s="96">
        <f>IFERROR(s_C*k_decay*s_Fin*s_Fi*s_Fam*s_Foff*s_ETiw*(1/24)*s_EFiw*(1/365)*Isospec!R15,".")</f>
        <v>0.71543146713438066</v>
      </c>
      <c r="E16" s="95">
        <f>C16*Doses!C14</f>
        <v>2082928.3201462468</v>
      </c>
      <c r="F16" s="126">
        <f>D16*Doses!L14</f>
        <v>3.5771573356719033</v>
      </c>
      <c r="G16" s="103">
        <f>SUM((C16*Doses!C14),(D16*Doses!L14))</f>
        <v>2082931.8973035824</v>
      </c>
      <c r="H16" s="95">
        <f t="shared" si="25"/>
        <v>77068.347845411205</v>
      </c>
      <c r="I16" s="126">
        <f t="shared" si="26"/>
        <v>0.13235482141986055</v>
      </c>
      <c r="J16" s="103">
        <f t="shared" si="27"/>
        <v>77068.480200232632</v>
      </c>
    </row>
    <row r="17" spans="1:10">
      <c r="A17" s="82" t="s">
        <v>32</v>
      </c>
      <c r="B17" s="12" t="s">
        <v>50</v>
      </c>
      <c r="C17" s="95">
        <f t="shared" ref="C17:C23" si="28">IFERROR(s_C*k_decay_iw*s_IFDiw*s_Fin*s_Fi,".")</f>
        <v>416585.66402924934</v>
      </c>
      <c r="D17" s="96">
        <f>IFERROR(s_C*k_decay*s_Fin*s_Fi*s_Fam*s_Foff*s_ETiw*(1/24)*s_EFiw*(1/365)*Isospec!R16,".")</f>
        <v>1.7786970177374104</v>
      </c>
      <c r="E17" s="95">
        <f>C17*Doses!C15</f>
        <v>2082928.3201462468</v>
      </c>
      <c r="F17" s="126">
        <f>D17*Doses!L15</f>
        <v>8.8934850886870525</v>
      </c>
      <c r="G17" s="103">
        <f>SUM((C17*Doses!C15),(D17*Doses!L15))</f>
        <v>2082937.2136313354</v>
      </c>
      <c r="H17" s="95">
        <f t="shared" ref="H17:H23" si="29">E17/s_1_bq</f>
        <v>77068.347845411205</v>
      </c>
      <c r="I17" s="126">
        <f t="shared" ref="I17:I23" si="30">F17/s_1_bq</f>
        <v>0.32905894828142129</v>
      </c>
      <c r="J17" s="103">
        <f t="shared" ref="J17:J23" si="31">G17/s_1_bq</f>
        <v>77068.676904359483</v>
      </c>
    </row>
    <row r="18" spans="1:10">
      <c r="A18" s="82" t="s">
        <v>33</v>
      </c>
      <c r="B18" s="85" t="s">
        <v>50</v>
      </c>
      <c r="C18" s="95">
        <f t="shared" si="28"/>
        <v>416585.66402924934</v>
      </c>
      <c r="D18" s="96">
        <f>IFERROR(s_C*k_decay*s_Fin*s_Fi*s_Fam*s_Foff*s_ETiw*(1/24)*s_EFiw*(1/365)*Isospec!R17,".")</f>
        <v>1.3656440436183894</v>
      </c>
      <c r="E18" s="95">
        <f>C18*Doses!C16</f>
        <v>2082928.3201462468</v>
      </c>
      <c r="F18" s="126">
        <f>D18*Doses!L16</f>
        <v>6.8282202180919471</v>
      </c>
      <c r="G18" s="103">
        <f>SUM((C18*Doses!C16),(D18*Doses!L16))</f>
        <v>2082935.148366465</v>
      </c>
      <c r="H18" s="95">
        <f t="shared" si="29"/>
        <v>77068.347845411205</v>
      </c>
      <c r="I18" s="126">
        <f t="shared" si="30"/>
        <v>0.25264414806940227</v>
      </c>
      <c r="J18" s="103">
        <f t="shared" si="31"/>
        <v>77068.600489559278</v>
      </c>
    </row>
    <row r="19" spans="1:10">
      <c r="A19" s="82" t="s">
        <v>34</v>
      </c>
      <c r="B19" s="85" t="s">
        <v>50</v>
      </c>
      <c r="C19" s="95">
        <f t="shared" si="28"/>
        <v>416585.66402924934</v>
      </c>
      <c r="D19" s="96">
        <f>IFERROR(s_C*k_decay*s_Fin*s_Fi*s_Fam*s_Foff*s_ETiw*(1/24)*s_EFiw*(1/365)*Isospec!R18,".")</f>
        <v>0.5375617653606396</v>
      </c>
      <c r="E19" s="95">
        <f>C19*Doses!C17</f>
        <v>2082928.3201462468</v>
      </c>
      <c r="F19" s="126">
        <f>D19*Doses!L17</f>
        <v>2.6878088268031979</v>
      </c>
      <c r="G19" s="103">
        <f>SUM((C19*Doses!C17),(D19*Doses!L17))</f>
        <v>2082931.0079550736</v>
      </c>
      <c r="H19" s="95">
        <f t="shared" si="29"/>
        <v>77068.347845411205</v>
      </c>
      <c r="I19" s="126">
        <f t="shared" si="30"/>
        <v>9.9448926591718417E-2</v>
      </c>
      <c r="J19" s="103">
        <f t="shared" si="31"/>
        <v>77068.447294337806</v>
      </c>
    </row>
    <row r="20" spans="1:10">
      <c r="A20" s="82" t="s">
        <v>36</v>
      </c>
      <c r="B20" s="85" t="s">
        <v>50</v>
      </c>
      <c r="C20" s="95">
        <f t="shared" si="28"/>
        <v>416585.66402924934</v>
      </c>
      <c r="D20" s="96">
        <f>IFERROR(s_C*k_decay*s_Fin*s_Fi*s_Fam*s_Foff*s_ETiw*(1/24)*s_EFiw*(1/365)*Isospec!R19,".")</f>
        <v>0.42688728425697853</v>
      </c>
      <c r="E20" s="95">
        <f>C20*Doses!C18</f>
        <v>2082928.3201462468</v>
      </c>
      <c r="F20" s="126">
        <f>D20*Doses!L18</f>
        <v>2.1344364212848927</v>
      </c>
      <c r="G20" s="103">
        <f>SUM((C20*Doses!C18),(D20*Doses!L18))</f>
        <v>2082930.4545826681</v>
      </c>
      <c r="H20" s="95">
        <f t="shared" si="29"/>
        <v>77068.347845411205</v>
      </c>
      <c r="I20" s="126">
        <f t="shared" si="30"/>
        <v>7.8974147587541108E-2</v>
      </c>
      <c r="J20" s="103">
        <f t="shared" si="31"/>
        <v>77068.426819558794</v>
      </c>
    </row>
    <row r="21" spans="1:10">
      <c r="A21" s="82" t="s">
        <v>37</v>
      </c>
      <c r="B21" s="12" t="s">
        <v>50</v>
      </c>
      <c r="C21" s="95">
        <f t="shared" si="28"/>
        <v>416585.66402924934</v>
      </c>
      <c r="D21" s="96">
        <f>IFERROR(s_C*k_decay*s_Fin*s_Fi*s_Fam*s_Foff*s_ETiw*(1/24)*s_EFiw*(1/365)*Isospec!R20,".")</f>
        <v>0.42886361427668673</v>
      </c>
      <c r="E21" s="95">
        <f>C21*Doses!C19</f>
        <v>2082928.3201462468</v>
      </c>
      <c r="F21" s="126">
        <f>D21*Doses!L19</f>
        <v>2.1443180713834336</v>
      </c>
      <c r="G21" s="103">
        <f>SUM((C21*Doses!C19),(D21*Doses!L19))</f>
        <v>2082930.4644643182</v>
      </c>
      <c r="H21" s="95">
        <f t="shared" si="29"/>
        <v>77068.347845411205</v>
      </c>
      <c r="I21" s="126">
        <f t="shared" si="30"/>
        <v>7.9339768641187122E-2</v>
      </c>
      <c r="J21" s="103">
        <f t="shared" si="31"/>
        <v>77068.427185179855</v>
      </c>
    </row>
    <row r="22" spans="1:10">
      <c r="A22" s="82" t="s">
        <v>38</v>
      </c>
      <c r="B22" s="85" t="s">
        <v>50</v>
      </c>
      <c r="C22" s="95">
        <f t="shared" si="28"/>
        <v>416585.66402924934</v>
      </c>
      <c r="D22" s="96">
        <f>IFERROR(s_C*k_decay*s_Fin*s_Fi*s_Fam*s_Foff*s_ETiw*(1/24)*s_EFiw*(1/365)*Isospec!R21,".")</f>
        <v>0.42688728425697853</v>
      </c>
      <c r="E22" s="95">
        <f>C22*Doses!C20</f>
        <v>2082928.3201462468</v>
      </c>
      <c r="F22" s="126">
        <f>D22*Doses!L20</f>
        <v>2.1344364212848927</v>
      </c>
      <c r="G22" s="103">
        <f>SUM((C22*Doses!C20),(D22*Doses!L20))</f>
        <v>2082930.4545826681</v>
      </c>
      <c r="H22" s="95">
        <f t="shared" si="29"/>
        <v>77068.347845411205</v>
      </c>
      <c r="I22" s="126">
        <f t="shared" si="30"/>
        <v>7.8974147587541108E-2</v>
      </c>
      <c r="J22" s="103">
        <f t="shared" si="31"/>
        <v>77068.426819558794</v>
      </c>
    </row>
    <row r="23" spans="1:10">
      <c r="A23" s="82" t="s">
        <v>39</v>
      </c>
      <c r="B23" s="85" t="s">
        <v>50</v>
      </c>
      <c r="C23" s="95">
        <f t="shared" si="28"/>
        <v>416585.66402924934</v>
      </c>
      <c r="D23" s="96">
        <f>IFERROR(s_C*k_decay*s_Fin*s_Fi*s_Fam*s_Foff*s_ETiw*(1/24)*s_EFiw*(1/365)*Isospec!R22,".")</f>
        <v>1.7786970177374104</v>
      </c>
      <c r="E23" s="95">
        <f>C23*Doses!C21</f>
        <v>2082928.3201462468</v>
      </c>
      <c r="F23" s="126">
        <f>D23*Doses!L21</f>
        <v>8.8934850886870525</v>
      </c>
      <c r="G23" s="103">
        <f>SUM((C23*Doses!C21),(D23*Doses!L21))</f>
        <v>2082937.2136313354</v>
      </c>
      <c r="H23" s="95">
        <f t="shared" si="29"/>
        <v>77068.347845411205</v>
      </c>
      <c r="I23" s="126">
        <f t="shared" si="30"/>
        <v>0.32905894828142129</v>
      </c>
      <c r="J23" s="103">
        <f t="shared" si="31"/>
        <v>77068.676904359483</v>
      </c>
    </row>
    <row r="24" spans="1:10">
      <c r="A24" s="82" t="s">
        <v>26</v>
      </c>
      <c r="B24" s="12" t="s">
        <v>50</v>
      </c>
      <c r="C24" s="95">
        <f t="shared" ref="C24:C25" si="32">IFERROR(s_C*k_decay_iw*s_IFDiw*s_Fin*s_Fi,".")</f>
        <v>416585.66402924934</v>
      </c>
      <c r="D24" s="96">
        <f>IFERROR(s_C*k_decay*s_Fin*s_Fi*s_Fam*s_Foff*s_ETiw*(1/24)*s_EFiw*(1/365)*Isospec!R23,".")</f>
        <v>0.9348040993219946</v>
      </c>
      <c r="E24" s="95">
        <f>C24*Doses!C22</f>
        <v>2082928.3201462468</v>
      </c>
      <c r="F24" s="126">
        <f>D24*Doses!L22</f>
        <v>4.6740204966099732</v>
      </c>
      <c r="G24" s="103">
        <f>SUM((C24*Doses!C22),(D24*Doses!L22))</f>
        <v>2082932.9941667435</v>
      </c>
      <c r="H24" s="95">
        <f t="shared" ref="H24:H25" si="33">E24/s_1_bq</f>
        <v>77068.347845411205</v>
      </c>
      <c r="I24" s="126">
        <f t="shared" ref="I24:I25" si="34">F24/s_1_bq</f>
        <v>0.17293875837456918</v>
      </c>
      <c r="J24" s="103">
        <f t="shared" ref="J24:J25" si="35">G24/s_1_bq</f>
        <v>77068.520784169581</v>
      </c>
    </row>
    <row r="25" spans="1:10">
      <c r="A25" s="83" t="s">
        <v>27</v>
      </c>
      <c r="B25" s="85" t="s">
        <v>44</v>
      </c>
      <c r="C25" s="95">
        <f t="shared" si="32"/>
        <v>416585.66402924934</v>
      </c>
      <c r="D25" s="96">
        <f>IFERROR(s_C*k_decay*s_Fin*s_Fi*s_Fam*s_Foff*s_ETiw*(1/24)*s_EFiw*(1/365)*Isospec!R24,".")</f>
        <v>0.62452028622780187</v>
      </c>
      <c r="E25" s="95">
        <f>C25*Doses!C23</f>
        <v>2082928.3201462468</v>
      </c>
      <c r="F25" s="126">
        <f>D25*Doses!L23</f>
        <v>3.1226014311390093</v>
      </c>
      <c r="G25" s="103">
        <f>SUM((C25*Doses!C23),(D25*Doses!L23))</f>
        <v>2082931.4427476779</v>
      </c>
      <c r="H25" s="95">
        <f t="shared" si="33"/>
        <v>77068.347845411205</v>
      </c>
      <c r="I25" s="126">
        <f t="shared" si="34"/>
        <v>0.11553625295214347</v>
      </c>
      <c r="J25" s="103">
        <f t="shared" si="35"/>
        <v>77068.463381664158</v>
      </c>
    </row>
    <row r="26" spans="1:10">
      <c r="A26" s="82" t="s">
        <v>30</v>
      </c>
      <c r="B26" s="85" t="s">
        <v>50</v>
      </c>
      <c r="C26" s="95">
        <f t="shared" ref="C26" si="36">IFERROR(s_C*k_decay_iw*s_IFDiw*s_Fin*s_Fi,".")</f>
        <v>416585.66402924934</v>
      </c>
      <c r="D26" s="96">
        <f>IFERROR(s_C*k_decay*s_Fin*s_Fi*s_Fam*s_Foff*s_ETiw*(1/24)*s_EFiw*(1/365)*Isospec!R25,".")</f>
        <v>0.44072159439493613</v>
      </c>
      <c r="E26" s="95">
        <f>C26*Doses!C24</f>
        <v>2082928.3201462468</v>
      </c>
      <c r="F26" s="126">
        <f>D26*Doses!L24</f>
        <v>2.2036079719746806</v>
      </c>
      <c r="G26" s="103">
        <f>SUM((C26*Doses!C24),(D26*Doses!L24))</f>
        <v>2082930.5237542188</v>
      </c>
      <c r="H26" s="95">
        <f t="shared" ref="H26" si="37">E26/s_1_bq</f>
        <v>77068.347845411205</v>
      </c>
      <c r="I26" s="126">
        <f t="shared" ref="I26" si="38">F26/s_1_bq</f>
        <v>8.1533494963063266E-2</v>
      </c>
      <c r="J26" s="103">
        <f t="shared" ref="J26" si="39">G26/s_1_bq</f>
        <v>77068.429378906178</v>
      </c>
    </row>
    <row r="27" spans="1:10">
      <c r="A27" s="83" t="s">
        <v>31</v>
      </c>
      <c r="B27" s="85" t="s">
        <v>44</v>
      </c>
      <c r="C27" s="95">
        <f t="shared" ref="C27" si="40">IFERROR(s_C*k_decay_iw*s_IFDiw*s_Fin*s_Fi,".")</f>
        <v>416585.66402924934</v>
      </c>
      <c r="D27" s="96">
        <f>IFERROR(s_C*k_decay*s_Fin*s_Fi*s_Fam*s_Foff*s_ETiw*(1/24)*s_EFiw*(1/365)*Isospec!R26,".")</f>
        <v>0.44072159439493613</v>
      </c>
      <c r="E27" s="95">
        <f>C27*Doses!C25</f>
        <v>2082928.3201462468</v>
      </c>
      <c r="F27" s="126">
        <f>D27*Doses!L25</f>
        <v>2.2036079719746806</v>
      </c>
      <c r="G27" s="103">
        <f>SUM((C27*Doses!C25),(D27*Doses!L25))</f>
        <v>2082930.5237542188</v>
      </c>
      <c r="H27" s="95">
        <f t="shared" ref="H27" si="41">E27/s_1_bq</f>
        <v>77068.347845411205</v>
      </c>
      <c r="I27" s="126">
        <f t="shared" ref="I27" si="42">F27/s_1_bq</f>
        <v>8.1533494963063266E-2</v>
      </c>
      <c r="J27" s="103">
        <f t="shared" ref="J27" si="43">G27/s_1_bq</f>
        <v>77068.429378906178</v>
      </c>
    </row>
    <row r="28" spans="1:10">
      <c r="A28" s="82" t="s">
        <v>35</v>
      </c>
      <c r="B28" s="12" t="s">
        <v>50</v>
      </c>
      <c r="C28" s="95">
        <f t="shared" ref="C28:C31" si="44">IFERROR(s_C*k_decay_iw*s_IFDiw*s_Fin*s_Fi,".")</f>
        <v>416585.66402924934</v>
      </c>
      <c r="D28" s="96">
        <f>IFERROR(s_C*k_decay*s_Fin*s_Fi*s_Fam*s_Foff*s_ETiw*(1/24)*s_EFiw*(1/365)*Isospec!R27,".")</f>
        <v>1.021762620189157</v>
      </c>
      <c r="E28" s="95">
        <f>C28*Doses!C26</f>
        <v>2082928.3201462468</v>
      </c>
      <c r="F28" s="126">
        <f>D28*Doses!L26</f>
        <v>5.1088131009457847</v>
      </c>
      <c r="G28" s="103">
        <f>SUM((C28*Doses!C26),(D28*Doses!L26))</f>
        <v>2082933.4289593478</v>
      </c>
      <c r="H28" s="95">
        <f t="shared" ref="H28:H31" si="45">E28/s_1_bq</f>
        <v>77068.347845411205</v>
      </c>
      <c r="I28" s="126">
        <f t="shared" ref="I28:I31" si="46">F28/s_1_bq</f>
        <v>0.18902608473499422</v>
      </c>
      <c r="J28" s="103">
        <f t="shared" ref="J28:J31" si="47">G28/s_1_bq</f>
        <v>77068.536871495948</v>
      </c>
    </row>
    <row r="29" spans="1:10">
      <c r="A29" s="82" t="s">
        <v>40</v>
      </c>
      <c r="B29" s="85" t="s">
        <v>50</v>
      </c>
      <c r="C29" s="95">
        <f t="shared" si="44"/>
        <v>416585.66402924934</v>
      </c>
      <c r="D29" s="96">
        <f>IFERROR(s_C*k_decay*s_Fin*s_Fi*s_Fam*s_Foff*s_ETiw*(1/24)*s_EFiw*(1/365)*Isospec!R28,".")</f>
        <v>0.78657934784387706</v>
      </c>
      <c r="E29" s="95">
        <f>C29*Doses!C27</f>
        <v>2082928.3201462468</v>
      </c>
      <c r="F29" s="126">
        <f>D29*Doses!L27</f>
        <v>3.9328967392193852</v>
      </c>
      <c r="G29" s="103">
        <f>SUM((C29*Doses!C27),(D29*Doses!L27))</f>
        <v>2082932.2530429859</v>
      </c>
      <c r="H29" s="95">
        <f t="shared" si="45"/>
        <v>77068.347845411205</v>
      </c>
      <c r="I29" s="126">
        <f t="shared" si="46"/>
        <v>0.14551717935111741</v>
      </c>
      <c r="J29" s="103">
        <f t="shared" si="47"/>
        <v>77068.493362590554</v>
      </c>
    </row>
    <row r="30" spans="1:10">
      <c r="A30" s="82" t="s">
        <v>41</v>
      </c>
      <c r="B30" s="12" t="s">
        <v>50</v>
      </c>
      <c r="C30" s="95">
        <f t="shared" si="44"/>
        <v>416585.66402924934</v>
      </c>
      <c r="D30" s="96">
        <f>IFERROR(s_C*k_decay*s_Fin*s_Fi*s_Fam*s_Foff*s_ETiw*(1/24)*s_EFiw*(1/365)*Isospec!R29,".")</f>
        <v>0.43083994429639499</v>
      </c>
      <c r="E30" s="95">
        <f>C30*Doses!C28</f>
        <v>2082928.3201462468</v>
      </c>
      <c r="F30" s="126">
        <f>D30*Doses!L28</f>
        <v>2.1541997214819748</v>
      </c>
      <c r="G30" s="103">
        <f>SUM((C30*Doses!C28),(D30*Doses!L28))</f>
        <v>2082930.4743459683</v>
      </c>
      <c r="H30" s="95">
        <f t="shared" si="45"/>
        <v>77068.347845411205</v>
      </c>
      <c r="I30" s="126">
        <f t="shared" si="46"/>
        <v>7.9705389694833151E-2</v>
      </c>
      <c r="J30" s="103">
        <f t="shared" si="47"/>
        <v>77068.427550800901</v>
      </c>
    </row>
    <row r="31" spans="1:10">
      <c r="A31" s="82" t="s">
        <v>42</v>
      </c>
      <c r="B31" s="85" t="s">
        <v>50</v>
      </c>
      <c r="C31" s="95">
        <f t="shared" si="44"/>
        <v>416585.66402924934</v>
      </c>
      <c r="D31" s="96">
        <f>IFERROR(s_C*k_decay*s_Fin*s_Fi*s_Fam*s_Foff*s_ETiw*(1/24)*s_EFiw*(1/365)*Isospec!R30,".")</f>
        <v>0.43479260433581146</v>
      </c>
      <c r="E31" s="95">
        <f>C31*Doses!C29</f>
        <v>2082928.3201462468</v>
      </c>
      <c r="F31" s="126">
        <f>D31*Doses!L29</f>
        <v>2.1739630216790573</v>
      </c>
      <c r="G31" s="103">
        <f>SUM((C31*Doses!C29),(D31*Doses!L29))</f>
        <v>2082930.4941092685</v>
      </c>
      <c r="H31" s="95">
        <f t="shared" si="45"/>
        <v>77068.347845411205</v>
      </c>
      <c r="I31" s="126">
        <f t="shared" si="46"/>
        <v>8.0436631802125208E-2</v>
      </c>
      <c r="J31" s="103">
        <f t="shared" si="47"/>
        <v>77068.428282043009</v>
      </c>
    </row>
    <row r="32" spans="1:10" ht="13.5" thickBot="1">
      <c r="A32" s="82" t="s">
        <v>25</v>
      </c>
      <c r="B32" s="12" t="s">
        <v>50</v>
      </c>
      <c r="C32" s="95">
        <f t="shared" ref="C32" si="48">IFERROR(s_C*k_decay_iw*s_IFDiw*s_Fin*s_Fi,".")</f>
        <v>416585.66402924934</v>
      </c>
      <c r="D32" s="96">
        <f>IFERROR(s_C*k_decay*s_Fin*s_Fi*s_Fam*s_Foff*s_ETiw*(1/24)*s_EFiw*(1/365)*Isospec!R31,".")</f>
        <v>1.2352062623176461</v>
      </c>
      <c r="E32" s="95">
        <f>C32*Doses!C30</f>
        <v>2082928.3201462468</v>
      </c>
      <c r="F32" s="126">
        <f>D32*Doses!L30</f>
        <v>6.1760313115882308</v>
      </c>
      <c r="G32" s="103">
        <f>SUM((C32*Doses!C30),(D32*Doses!L30))</f>
        <v>2082934.4961775583</v>
      </c>
      <c r="H32" s="95">
        <f t="shared" ref="H32" si="49">E32/s_1_bq</f>
        <v>77068.347845411205</v>
      </c>
      <c r="I32" s="126">
        <f t="shared" ref="I32" si="50">F32/s_1_bq</f>
        <v>0.22851315852876478</v>
      </c>
      <c r="J32" s="103">
        <f t="shared" ref="J32" si="51">G32/s_1_bq</f>
        <v>77068.576358569742</v>
      </c>
    </row>
    <row r="33" spans="1:10" ht="15">
      <c r="A33" s="104" t="s">
        <v>14</v>
      </c>
      <c r="B33" s="104" t="s">
        <v>50</v>
      </c>
      <c r="C33" s="123"/>
      <c r="D33" s="124"/>
      <c r="E33" s="105">
        <f>SUM(E34:E46)</f>
        <v>24994389.987559717</v>
      </c>
      <c r="F33" s="106">
        <f t="shared" ref="F33:G33" si="52">SUM(F34:F46)</f>
        <v>54.337797194669783</v>
      </c>
      <c r="G33" s="107">
        <f t="shared" si="52"/>
        <v>24994444.325356904</v>
      </c>
      <c r="H33" s="105">
        <f t="shared" ref="H33:H60" si="53">E33/s_1_bq</f>
        <v>924792.42953971052</v>
      </c>
      <c r="I33" s="106">
        <f t="shared" ref="I33:I60" si="54">F33/s_1_bq</f>
        <v>2.0104984962027839</v>
      </c>
      <c r="J33" s="107">
        <f t="shared" ref="J33:J60" si="55">G33/s_1_bq</f>
        <v>924794.44003820641</v>
      </c>
    </row>
    <row r="34" spans="1:10" ht="15">
      <c r="A34" s="108" t="s">
        <v>137</v>
      </c>
      <c r="B34" s="109">
        <v>1</v>
      </c>
      <c r="C34" s="123"/>
      <c r="D34" s="124"/>
      <c r="E34" s="110">
        <f>IFERROR(VLOOKUP("Am-241",$A$4:$J$32,3)*VLOOKUP("Am-241",Doses!$A$1:$O$30,3)*$B34,0)</f>
        <v>2082928.3201462468</v>
      </c>
      <c r="F34" s="122">
        <f>IFERROR(VLOOKUP("Am-241",$A$4:$J$32,4)*VLOOKUP("Am-241",Doses!$A$1:$O$30,12)*$B34,0)</f>
        <v>5.0001149498618318</v>
      </c>
      <c r="G34" s="112">
        <f>SUM(E34:F34)</f>
        <v>2082933.3202611967</v>
      </c>
      <c r="H34" s="110">
        <f t="shared" si="53"/>
        <v>77068.347845411205</v>
      </c>
      <c r="I34" s="111">
        <f t="shared" si="54"/>
        <v>0.18500425314488797</v>
      </c>
      <c r="J34" s="112">
        <f t="shared" si="55"/>
        <v>77068.532849664349</v>
      </c>
    </row>
    <row r="35" spans="1:10" ht="15">
      <c r="A35" s="108" t="s">
        <v>138</v>
      </c>
      <c r="B35" s="109">
        <v>1</v>
      </c>
      <c r="C35" s="123"/>
      <c r="D35" s="124"/>
      <c r="E35" s="110">
        <f>IFERROR(VLOOKUP("Np-237",$A$4:$J$32,3)*VLOOKUP("Np-237",Doses!$A$1:$O$31,3)*$B35,0)</f>
        <v>2082928.3201462468</v>
      </c>
      <c r="F35" s="122">
        <f>IFERROR(VLOOKUP("Np-237",$A$4:$J$32,4)*VLOOKUP("Np-237",Doses!$A$1:$O$31,12)*$B35,0)</f>
        <v>5.3459727033107729</v>
      </c>
      <c r="G35" s="112">
        <f t="shared" ref="G35:G46" si="56">SUM(E35:F35)</f>
        <v>2082933.6661189501</v>
      </c>
      <c r="H35" s="110">
        <f t="shared" si="53"/>
        <v>77068.347845411205</v>
      </c>
      <c r="I35" s="111">
        <f t="shared" si="54"/>
        <v>0.19780099002249879</v>
      </c>
      <c r="J35" s="112">
        <f t="shared" si="55"/>
        <v>77068.545646401239</v>
      </c>
    </row>
    <row r="36" spans="1:10" ht="15">
      <c r="A36" s="108" t="s">
        <v>139</v>
      </c>
      <c r="B36" s="109">
        <v>1</v>
      </c>
      <c r="C36" s="123"/>
      <c r="D36" s="124"/>
      <c r="E36" s="110">
        <f>IFERROR(VLOOKUP("Pa-233",$A$4:$J$32,3)*VLOOKUP("Pa-233",Doses!$A$1:$O$32,3)*$B36,0)</f>
        <v>2082928.3201462468</v>
      </c>
      <c r="F36" s="122">
        <f>IFERROR(VLOOKUP("Pa-233",$A$4:$J$32,4)*VLOOKUP("Pa-233",Doses!$A$1:$O$32,12)*$B36,0)</f>
        <v>3.5771573356719033</v>
      </c>
      <c r="G36" s="112">
        <f t="shared" si="56"/>
        <v>2082931.8973035824</v>
      </c>
      <c r="H36" s="110">
        <f t="shared" si="53"/>
        <v>77068.347845411205</v>
      </c>
      <c r="I36" s="111">
        <f t="shared" si="54"/>
        <v>0.13235482141986055</v>
      </c>
      <c r="J36" s="112">
        <f t="shared" si="55"/>
        <v>77068.480200232632</v>
      </c>
    </row>
    <row r="37" spans="1:10" ht="15">
      <c r="A37" s="108" t="s">
        <v>140</v>
      </c>
      <c r="B37" s="109">
        <v>1</v>
      </c>
      <c r="C37" s="123"/>
      <c r="D37" s="124"/>
      <c r="E37" s="110">
        <f>IFERROR(VLOOKUP("U-233",$A$4:$J$32,3)*VLOOKUP("U-233",Doses!$A$1:$O$33,3)*$B37,0)</f>
        <v>2082928.3201462468</v>
      </c>
      <c r="F37" s="122">
        <f>IFERROR(VLOOKUP("U-233",$A$4:$J$32,4)*VLOOKUP("U-233",Doses!$A$1:$O$33,12)*$B37,0)</f>
        <v>6.1760313115882308</v>
      </c>
      <c r="G37" s="112">
        <f t="shared" si="56"/>
        <v>2082934.4961775583</v>
      </c>
      <c r="H37" s="110">
        <f t="shared" si="53"/>
        <v>77068.347845411205</v>
      </c>
      <c r="I37" s="111">
        <f t="shared" si="54"/>
        <v>0.22851315852876478</v>
      </c>
      <c r="J37" s="112">
        <f t="shared" si="55"/>
        <v>77068.576358569742</v>
      </c>
    </row>
    <row r="38" spans="1:10" ht="15">
      <c r="A38" s="108" t="s">
        <v>141</v>
      </c>
      <c r="B38" s="109">
        <v>1</v>
      </c>
      <c r="C38" s="123"/>
      <c r="D38" s="124"/>
      <c r="E38" s="110">
        <f>IFERROR(VLOOKUP("Th-229",$A$4:$J$32,3)*VLOOKUP("Th-229",Doses!$A$1:$O$34,3)*$B38,0)</f>
        <v>2082928.3201462468</v>
      </c>
      <c r="F38" s="122">
        <f>IFERROR(VLOOKUP("Th-229",$A$4:$J$32,4)*VLOOKUP("Th-229",Doses!$A$1:$O$34,12)*$B38,0)</f>
        <v>5.1088131009457847</v>
      </c>
      <c r="G38" s="112">
        <f t="shared" si="56"/>
        <v>2082933.4289593478</v>
      </c>
      <c r="H38" s="110">
        <f t="shared" si="53"/>
        <v>77068.347845411205</v>
      </c>
      <c r="I38" s="111">
        <f t="shared" si="54"/>
        <v>0.18902608473499422</v>
      </c>
      <c r="J38" s="112">
        <f t="shared" si="55"/>
        <v>77068.536871495948</v>
      </c>
    </row>
    <row r="39" spans="1:10" ht="15">
      <c r="A39" s="108" t="s">
        <v>142</v>
      </c>
      <c r="B39" s="109">
        <v>1</v>
      </c>
      <c r="C39" s="123"/>
      <c r="D39" s="124"/>
      <c r="E39" s="110">
        <f>IFERROR(VLOOKUP("Ra-225",$A$4:$J$32,3)*VLOOKUP("Ra-225",Doses!$A$1:$O$35,3)*$B39,0)</f>
        <v>2082928.3201462468</v>
      </c>
      <c r="F39" s="122">
        <f>IFERROR(VLOOKUP("Ra-225",$A$4:$J$32,4)*VLOOKUP("Ra-225",Doses!$A$1:$O$35,12)*$B39,0)</f>
        <v>4.6740204966099732</v>
      </c>
      <c r="G39" s="112">
        <f t="shared" si="56"/>
        <v>2082932.9941667435</v>
      </c>
      <c r="H39" s="110">
        <f t="shared" si="53"/>
        <v>77068.347845411205</v>
      </c>
      <c r="I39" s="111">
        <f t="shared" si="54"/>
        <v>0.17293875837456918</v>
      </c>
      <c r="J39" s="112">
        <f t="shared" si="55"/>
        <v>77068.520784169581</v>
      </c>
    </row>
    <row r="40" spans="1:10" ht="15">
      <c r="A40" s="108" t="s">
        <v>143</v>
      </c>
      <c r="B40" s="109">
        <v>1</v>
      </c>
      <c r="C40" s="123"/>
      <c r="D40" s="124"/>
      <c r="E40" s="110">
        <f>IFERROR(VLOOKUP("Ac-225",$A$4:$J$32,3)*VLOOKUP("Ac-225",Doses!$A$1:$O$36,3)*$B40,0)</f>
        <v>2082928.3201462468</v>
      </c>
      <c r="F40" s="122">
        <f>IFERROR(VLOOKUP("Ac-225",$A$4:$J$32,4)*VLOOKUP("Ac-225",Doses!$A$1:$O$36,12)*$B40,0)</f>
        <v>5.4843158046903495</v>
      </c>
      <c r="G40" s="112">
        <f t="shared" si="56"/>
        <v>2082933.8044620515</v>
      </c>
      <c r="H40" s="110">
        <f t="shared" si="53"/>
        <v>77068.347845411205</v>
      </c>
      <c r="I40" s="111">
        <f t="shared" si="54"/>
        <v>0.20291968477354314</v>
      </c>
      <c r="J40" s="112">
        <f t="shared" si="55"/>
        <v>77068.550765095977</v>
      </c>
    </row>
    <row r="41" spans="1:10" ht="15">
      <c r="A41" s="108" t="s">
        <v>144</v>
      </c>
      <c r="B41" s="109">
        <v>1</v>
      </c>
      <c r="C41" s="123"/>
      <c r="D41" s="124"/>
      <c r="E41" s="110">
        <f>IFERROR(VLOOKUP("Fr-221",$A$4:$J$32,3)*VLOOKUP("Fr-221",Doses!$A$1:$O$37,3)*$B41,0)</f>
        <v>2082928.3201462468</v>
      </c>
      <c r="F41" s="122">
        <f>IFERROR(VLOOKUP("Fr-221",$A$4:$J$32,4)*VLOOKUP("Fr-221",Doses!$A$1:$O$37,12)*$B41,0)</f>
        <v>2.8854418287740211</v>
      </c>
      <c r="G41" s="112">
        <f t="shared" si="56"/>
        <v>2082931.2055880756</v>
      </c>
      <c r="H41" s="110">
        <f t="shared" si="53"/>
        <v>77068.347845411205</v>
      </c>
      <c r="I41" s="111">
        <f t="shared" si="54"/>
        <v>0.10676134766463889</v>
      </c>
      <c r="J41" s="112">
        <f t="shared" si="55"/>
        <v>77068.454606758867</v>
      </c>
    </row>
    <row r="42" spans="1:10" ht="15">
      <c r="A42" s="108" t="s">
        <v>145</v>
      </c>
      <c r="B42" s="109">
        <v>1</v>
      </c>
      <c r="C42" s="123"/>
      <c r="D42" s="124"/>
      <c r="E42" s="110">
        <f>IFERROR(VLOOKUP("At-217",$A$4:$J$32,3)*VLOOKUP("At-217",Doses!$A$1:$O$38,3)*$B42,0)</f>
        <v>2082928.3201462468</v>
      </c>
      <c r="F42" s="122">
        <f>IFERROR(VLOOKUP("At-217",$A$4:$J$32,4)*VLOOKUP("At-217",Doses!$A$1:$O$38,12)*$B42,0)</f>
        <v>2.7273354271973633</v>
      </c>
      <c r="G42" s="112">
        <f t="shared" si="56"/>
        <v>2082931.047481674</v>
      </c>
      <c r="H42" s="110">
        <f t="shared" si="53"/>
        <v>77068.347845411205</v>
      </c>
      <c r="I42" s="111">
        <f t="shared" si="54"/>
        <v>0.10091141080630255</v>
      </c>
      <c r="J42" s="112">
        <f t="shared" si="55"/>
        <v>77068.448756822021</v>
      </c>
    </row>
    <row r="43" spans="1:10" ht="15">
      <c r="A43" s="108" t="s">
        <v>146</v>
      </c>
      <c r="B43" s="113">
        <v>0.99987999999999999</v>
      </c>
      <c r="C43" s="123"/>
      <c r="D43" s="124"/>
      <c r="E43" s="110">
        <f>IFERROR(VLOOKUP("Bi-213",$A$4:$J$32,3)*VLOOKUP("Bi-213",Doses!$A$1:$O$39,3)*$B43,0)</f>
        <v>2082678.3687478292</v>
      </c>
      <c r="F43" s="122">
        <f>IFERROR(VLOOKUP("Bi-213",$A$4:$J$32,4)*VLOOKUP("Bi-213",Doses!$A$1:$O$39,12)*$B43,0)</f>
        <v>2.3219091106243956</v>
      </c>
      <c r="G43" s="112">
        <f t="shared" si="56"/>
        <v>2082680.6906569398</v>
      </c>
      <c r="H43" s="110">
        <f t="shared" si="53"/>
        <v>77059.099643669761</v>
      </c>
      <c r="I43" s="111">
        <f t="shared" si="54"/>
        <v>8.5910637093102732E-2</v>
      </c>
      <c r="J43" s="112">
        <f t="shared" si="55"/>
        <v>77059.185554306852</v>
      </c>
    </row>
    <row r="44" spans="1:10" ht="15">
      <c r="A44" s="108" t="s">
        <v>147</v>
      </c>
      <c r="B44" s="109">
        <v>0.97898250799999997</v>
      </c>
      <c r="C44" s="123"/>
      <c r="D44" s="124"/>
      <c r="E44" s="110">
        <f>IFERROR(VLOOKUP("Po-213",$A$4:$J$32,3)*VLOOKUP("Po-213",Doses!$A$1:$O$40,3)*$B44,0)</f>
        <v>2039150.3908409995</v>
      </c>
      <c r="F44" s="122">
        <f>IFERROR(VLOOKUP("Po-213",$A$4:$J$32,4)*VLOOKUP("Po-213",Doses!$A$1:$O$40,12)*$B44,0)</f>
        <v>2.0992498834726767</v>
      </c>
      <c r="G44" s="112">
        <f t="shared" si="56"/>
        <v>2039152.4900908831</v>
      </c>
      <c r="H44" s="110">
        <f t="shared" si="53"/>
        <v>75448.564461117057</v>
      </c>
      <c r="I44" s="111">
        <f t="shared" si="54"/>
        <v>7.7672245688489114E-2</v>
      </c>
      <c r="J44" s="112">
        <f t="shared" si="55"/>
        <v>75448.642133362751</v>
      </c>
    </row>
    <row r="45" spans="1:10" ht="15">
      <c r="A45" s="108" t="s">
        <v>148</v>
      </c>
      <c r="B45" s="109">
        <v>2.0897492E-2</v>
      </c>
      <c r="C45" s="123"/>
      <c r="D45" s="124"/>
      <c r="E45" s="110">
        <f>IFERROR(VLOOKUP("Tl-209",$A$4:$J$32,3)*VLOOKUP("Tl-209",Doses!$A$1:$O$41,3)*$B45,0)</f>
        <v>43527.977906829634</v>
      </c>
      <c r="F45" s="122">
        <f>IFERROR(VLOOKUP("Tl-209",$A$4:$J$32,4)*VLOOKUP("Tl-209",Doses!$A$1:$O$41,12)*$B45,0)</f>
        <v>4.5017371446071798E-2</v>
      </c>
      <c r="G45" s="112">
        <f t="shared" si="56"/>
        <v>43528.022924201083</v>
      </c>
      <c r="H45" s="110">
        <f t="shared" si="53"/>
        <v>1610.5351825526982</v>
      </c>
      <c r="I45" s="111">
        <f t="shared" si="54"/>
        <v>1.6656427435046582E-3</v>
      </c>
      <c r="J45" s="112">
        <f t="shared" si="55"/>
        <v>1610.5368481954417</v>
      </c>
    </row>
    <row r="46" spans="1:10" ht="15">
      <c r="A46" s="108" t="s">
        <v>149</v>
      </c>
      <c r="B46" s="109">
        <v>0.99987999999999999</v>
      </c>
      <c r="C46" s="123"/>
      <c r="D46" s="124"/>
      <c r="E46" s="110">
        <f>IFERROR(VLOOKUP("Pb-209",$A$4:$J$32,3)*VLOOKUP("Pb-209",Doses!$A$1:$O$42,3)*$B46,0)</f>
        <v>2082678.3687478292</v>
      </c>
      <c r="F46" s="122">
        <f>IFERROR(VLOOKUP("Pb-209",$A$4:$J$32,4)*VLOOKUP("Pb-209",Doses!$A$1:$O$42,12)*$B46,0)</f>
        <v>8.8924178704764092</v>
      </c>
      <c r="G46" s="112">
        <f t="shared" si="56"/>
        <v>2082687.2611656997</v>
      </c>
      <c r="H46" s="110">
        <f t="shared" si="53"/>
        <v>77059.099643669761</v>
      </c>
      <c r="I46" s="111">
        <f t="shared" si="54"/>
        <v>0.32901946120762748</v>
      </c>
      <c r="J46" s="112">
        <f t="shared" si="55"/>
        <v>77059.428663130966</v>
      </c>
    </row>
    <row r="47" spans="1:10" ht="15">
      <c r="A47" s="104" t="s">
        <v>17</v>
      </c>
      <c r="B47" s="104" t="s">
        <v>50</v>
      </c>
      <c r="C47" s="123"/>
      <c r="D47" s="125"/>
      <c r="E47" s="114">
        <f>SUM(E48:E49)</f>
        <v>4049191.8250811026</v>
      </c>
      <c r="F47" s="121">
        <f>SUM(F48:F49)</f>
        <v>4.4122533127200949</v>
      </c>
      <c r="G47" s="116">
        <f>SUM(G48:G49)</f>
        <v>4049196.2373344153</v>
      </c>
      <c r="H47" s="114">
        <f t="shared" si="53"/>
        <v>149820.09752800094</v>
      </c>
      <c r="I47" s="115">
        <f t="shared" si="54"/>
        <v>0.16325337257064368</v>
      </c>
      <c r="J47" s="116">
        <f t="shared" si="55"/>
        <v>149820.26078137351</v>
      </c>
    </row>
    <row r="48" spans="1:10" ht="15">
      <c r="A48" s="108" t="s">
        <v>150</v>
      </c>
      <c r="B48" s="109">
        <v>1</v>
      </c>
      <c r="C48" s="123"/>
      <c r="D48" s="124"/>
      <c r="E48" s="110">
        <f>IFERROR(VLOOKUP("Cs-137",$A$4:$J$32,3)*VLOOKUP("Cs-137",Doses!$A$1:$O$40,3)*$B48,0)</f>
        <v>2082928.3201462468</v>
      </c>
      <c r="F48" s="122">
        <f>IFERROR(VLOOKUP("Cs-137",$A$4:$J$32,4)*VLOOKUP("Cs-137",Doses!$A$1:$O$40,12)*$B48,0)</f>
        <v>2.3320694232557155</v>
      </c>
      <c r="G48" s="112">
        <f t="shared" ref="G48:G49" si="57">SUM(E48:F48)</f>
        <v>2082930.6522156701</v>
      </c>
      <c r="H48" s="110">
        <f t="shared" si="53"/>
        <v>77068.347845411205</v>
      </c>
      <c r="I48" s="111">
        <f t="shared" si="54"/>
        <v>8.6286568660461568E-2</v>
      </c>
      <c r="J48" s="112">
        <f t="shared" si="55"/>
        <v>77068.43413197987</v>
      </c>
    </row>
    <row r="49" spans="1:10" ht="15">
      <c r="A49" s="108" t="s">
        <v>151</v>
      </c>
      <c r="B49" s="109">
        <v>0.94399</v>
      </c>
      <c r="C49" s="123"/>
      <c r="D49" s="124"/>
      <c r="E49" s="110">
        <f>IFERROR(VLOOKUP("Ba-137m",$A$4:$J$32,3)*VLOOKUP("Ba-137m",Doses!$A$1:$O$40,3)*$B49,0)</f>
        <v>1966263.5049348555</v>
      </c>
      <c r="F49" s="122">
        <f>IFERROR(VLOOKUP("Ba-137m",$A$4:$J$32,4)*VLOOKUP("Ba-137m",Doses!$A$1:$O$40,12)*$B49,0)</f>
        <v>2.0801838894643789</v>
      </c>
      <c r="G49" s="112">
        <f t="shared" si="57"/>
        <v>1966265.585118745</v>
      </c>
      <c r="H49" s="110">
        <f t="shared" si="53"/>
        <v>72751.749682589725</v>
      </c>
      <c r="I49" s="111">
        <f t="shared" si="54"/>
        <v>7.6966803910182097E-2</v>
      </c>
      <c r="J49" s="112">
        <f t="shared" si="55"/>
        <v>72751.826649393639</v>
      </c>
    </row>
    <row r="50" spans="1:10" ht="15">
      <c r="A50" s="104" t="s">
        <v>27</v>
      </c>
      <c r="B50" s="104" t="s">
        <v>50</v>
      </c>
      <c r="C50" s="123"/>
      <c r="D50" s="125"/>
      <c r="E50" s="114">
        <f>SUM(E51:E64)</f>
        <v>18746357.709932879</v>
      </c>
      <c r="F50" s="121">
        <f>SUM(F51:F64)</f>
        <v>32.650226697369526</v>
      </c>
      <c r="G50" s="116">
        <f>SUM(G51:G64)</f>
        <v>18746390.360159576</v>
      </c>
      <c r="H50" s="114">
        <f t="shared" si="53"/>
        <v>693615.23526751716</v>
      </c>
      <c r="I50" s="115">
        <f t="shared" si="54"/>
        <v>1.2080583878026736</v>
      </c>
      <c r="J50" s="116">
        <f t="shared" si="55"/>
        <v>693616.44332590501</v>
      </c>
    </row>
    <row r="51" spans="1:10" ht="15">
      <c r="A51" s="108" t="s">
        <v>152</v>
      </c>
      <c r="B51" s="109">
        <v>1</v>
      </c>
      <c r="C51" s="123"/>
      <c r="D51" s="124"/>
      <c r="E51" s="110">
        <f>IFERROR(VLOOKUP("Ra-226",$A$4:$J$32,3)*VLOOKUP("Ra-226",Doses!$A$1:$O$40,3)*$B51,0)</f>
        <v>2082928.3201462468</v>
      </c>
      <c r="F51" s="122">
        <f>IFERROR(VLOOKUP("Ra-226",$A$4:$J$32,4)*VLOOKUP("Ra-226",Doses!$A$1:$O$40,12)*$B51,0)</f>
        <v>3.1226014311390093</v>
      </c>
      <c r="G51" s="112">
        <f t="shared" ref="G51:G64" si="58">SUM(E51:F51)</f>
        <v>2082931.4427476779</v>
      </c>
      <c r="H51" s="110">
        <f t="shared" si="53"/>
        <v>77068.347845411205</v>
      </c>
      <c r="I51" s="111">
        <f t="shared" si="54"/>
        <v>0.11553625295214347</v>
      </c>
      <c r="J51" s="112">
        <f t="shared" si="55"/>
        <v>77068.463381664158</v>
      </c>
    </row>
    <row r="52" spans="1:10" ht="15">
      <c r="A52" s="108" t="s">
        <v>153</v>
      </c>
      <c r="B52" s="109">
        <v>1</v>
      </c>
      <c r="C52" s="123"/>
      <c r="D52" s="124"/>
      <c r="E52" s="110">
        <f>IFERROR(VLOOKUP("Rn-222",$A$4:$J$32,3)*VLOOKUP("Rn-222",Doses!$A$1:$O$40,3)*$B52,0)</f>
        <v>2082928.3201462468</v>
      </c>
      <c r="F52" s="122">
        <f>IFERROR(VLOOKUP("Rn-222",$A$4:$J$32,4)*VLOOKUP("Rn-222",Doses!$A$1:$O$40,12)*$B52,0)</f>
        <v>2.2036079719746806</v>
      </c>
      <c r="G52" s="112">
        <f t="shared" si="58"/>
        <v>2082930.5237542188</v>
      </c>
      <c r="H52" s="110">
        <f t="shared" si="53"/>
        <v>77068.347845411205</v>
      </c>
      <c r="I52" s="111">
        <f t="shared" si="54"/>
        <v>8.1533494963063266E-2</v>
      </c>
      <c r="J52" s="112">
        <f t="shared" si="55"/>
        <v>77068.429378906178</v>
      </c>
    </row>
    <row r="53" spans="1:10" ht="15">
      <c r="A53" s="108" t="s">
        <v>154</v>
      </c>
      <c r="B53" s="109">
        <v>1</v>
      </c>
      <c r="C53" s="123"/>
      <c r="D53" s="124"/>
      <c r="E53" s="110">
        <f>IFERROR(VLOOKUP("Po-218",$A$4:$J$32,3)*VLOOKUP("Po-218",Doses!$A$1:$O$40,3)*$B53,0)</f>
        <v>2082928.3201462468</v>
      </c>
      <c r="F53" s="122">
        <f>IFERROR(VLOOKUP("Po-218",$A$4:$J$32,4)*VLOOKUP("Po-218",Doses!$A$1:$O$40,12)*$B53,0)</f>
        <v>8.8934850886870525</v>
      </c>
      <c r="G53" s="112">
        <f t="shared" si="58"/>
        <v>2082937.2136313354</v>
      </c>
      <c r="H53" s="110">
        <f t="shared" si="53"/>
        <v>77068.347845411205</v>
      </c>
      <c r="I53" s="111">
        <f t="shared" si="54"/>
        <v>0.32905894828142129</v>
      </c>
      <c r="J53" s="112">
        <f t="shared" si="55"/>
        <v>77068.676904359483</v>
      </c>
    </row>
    <row r="54" spans="1:10" ht="15">
      <c r="A54" s="108" t="s">
        <v>156</v>
      </c>
      <c r="B54" s="109">
        <v>2.0000000000000001E-4</v>
      </c>
      <c r="C54" s="123"/>
      <c r="D54" s="124"/>
      <c r="E54" s="110">
        <f>IFERROR(VLOOKUP("At-218",$A$4:$J$32,3)*VLOOKUP("At-218",Doses!$A$1:$O$40,3)*$B54,0)</f>
        <v>416.58566402924936</v>
      </c>
      <c r="F54" s="122">
        <f>IFERROR(VLOOKUP("At-218",$A$4:$J$32,4)*VLOOKUP("At-218",Doses!$A$1:$O$40,12)*$B54,0)</f>
        <v>1.7786970177374106E-3</v>
      </c>
      <c r="G54" s="112">
        <f>SUM(E54:F54)</f>
        <v>416.58744272626711</v>
      </c>
      <c r="H54" s="110">
        <f t="shared" si="53"/>
        <v>15.413669569082241</v>
      </c>
      <c r="I54" s="111">
        <f t="shared" si="54"/>
        <v>6.581178965628426E-5</v>
      </c>
      <c r="J54" s="112">
        <f t="shared" si="55"/>
        <v>15.413735380871898</v>
      </c>
    </row>
    <row r="55" spans="1:10" ht="15">
      <c r="A55" s="108" t="s">
        <v>158</v>
      </c>
      <c r="B55" s="109">
        <v>1.9999999999999999E-7</v>
      </c>
      <c r="C55" s="123"/>
      <c r="D55" s="124"/>
      <c r="E55" s="110">
        <f>IFERROR(VLOOKUP("Rn-218",$A$4:$J$32,3)*VLOOKUP("Rn-218",Doses!$A$1:$O$40,3)*$B55,0)</f>
        <v>0.41658566402924935</v>
      </c>
      <c r="F55" s="122">
        <f>IFERROR(VLOOKUP("Rn-218",$A$4:$J$32,4)*VLOOKUP("Rn-218",Doses!$A$1:$O$40,12)*$B55,0)</f>
        <v>4.407215943949361E-7</v>
      </c>
      <c r="G55" s="112">
        <f>SUM(E55:F55)</f>
        <v>0.41658610475084373</v>
      </c>
      <c r="H55" s="110">
        <f t="shared" si="53"/>
        <v>1.5413669569082241E-2</v>
      </c>
      <c r="I55" s="111">
        <f t="shared" si="54"/>
        <v>1.6306698992612653E-8</v>
      </c>
      <c r="J55" s="112">
        <f t="shared" si="55"/>
        <v>1.5413685875781234E-2</v>
      </c>
    </row>
    <row r="56" spans="1:10" ht="15">
      <c r="A56" s="108" t="s">
        <v>155</v>
      </c>
      <c r="B56" s="109">
        <v>0.99980000000000002</v>
      </c>
      <c r="C56" s="123"/>
      <c r="D56" s="124"/>
      <c r="E56" s="110">
        <f>IFERROR(VLOOKUP("Pb-214",$A$4:$J$32,3)*VLOOKUP("Pb-214",Doses!$A$1:$O$40,3)*$B56,0)</f>
        <v>2082511.7344822176</v>
      </c>
      <c r="F56" s="122">
        <f>IFERROR(VLOOKUP("Pb-214",$A$4:$J$32,4)*VLOOKUP("Pb-214",Doses!$A$1:$O$40,12)*$B56,0)</f>
        <v>2.6872712650378374</v>
      </c>
      <c r="G56" s="112">
        <f t="shared" si="58"/>
        <v>2082514.4217534827</v>
      </c>
      <c r="H56" s="110">
        <f t="shared" si="53"/>
        <v>77052.934175842121</v>
      </c>
      <c r="I56" s="111">
        <f t="shared" si="54"/>
        <v>9.9429036806400084E-2</v>
      </c>
      <c r="J56" s="112">
        <f t="shared" si="55"/>
        <v>77053.033604878932</v>
      </c>
    </row>
    <row r="57" spans="1:10" ht="15">
      <c r="A57" s="108" t="s">
        <v>157</v>
      </c>
      <c r="B57" s="109">
        <v>0.99999979999999999</v>
      </c>
      <c r="C57" s="123"/>
      <c r="D57" s="124"/>
      <c r="E57" s="110">
        <f>IFERROR(VLOOKUP("Bi-214",$A$4:$J$32,3)*VLOOKUP("Bi-214",Doses!$A$1:$O$40,3)*$B57,0)</f>
        <v>2082927.9035605828</v>
      </c>
      <c r="F57" s="122">
        <f>IFERROR(VLOOKUP("Bi-214",$A$4:$J$32,4)*VLOOKUP("Bi-214",Doses!$A$1:$O$40,12)*$B57,0)</f>
        <v>2.0949094019087635</v>
      </c>
      <c r="G57" s="112">
        <f t="shared" si="58"/>
        <v>2082929.9984699846</v>
      </c>
      <c r="H57" s="110">
        <f t="shared" si="53"/>
        <v>77068.332431741641</v>
      </c>
      <c r="I57" s="111">
        <f t="shared" si="54"/>
        <v>7.7511647870624326E-2</v>
      </c>
      <c r="J57" s="112">
        <f t="shared" si="55"/>
        <v>77068.409943389503</v>
      </c>
    </row>
    <row r="58" spans="1:10" ht="15">
      <c r="A58" s="108" t="s">
        <v>159</v>
      </c>
      <c r="B58" s="109">
        <v>0.99979000004200003</v>
      </c>
      <c r="C58" s="123"/>
      <c r="D58" s="124"/>
      <c r="E58" s="110">
        <f>IFERROR(VLOOKUP("Po-214",$A$4:$J$32,3)*VLOOKUP("Po-214",Doses!$A$1:$O$40,3)*$B58,0)</f>
        <v>2082490.9052864991</v>
      </c>
      <c r="F58" s="122">
        <f>IFERROR(VLOOKUP("Po-214",$A$4:$J$32,4)*VLOOKUP("Po-214",Doses!$A$1:$O$40,12)*$B58,0)</f>
        <v>2.1339881897260695</v>
      </c>
      <c r="G58" s="112">
        <f t="shared" si="58"/>
        <v>2082493.0392746888</v>
      </c>
      <c r="H58" s="110">
        <f t="shared" si="53"/>
        <v>77052.163495600544</v>
      </c>
      <c r="I58" s="111">
        <f t="shared" si="54"/>
        <v>7.8957563019864646E-2</v>
      </c>
      <c r="J58" s="112">
        <f t="shared" si="55"/>
        <v>77052.242453163562</v>
      </c>
    </row>
    <row r="59" spans="1:10" ht="15">
      <c r="A59" s="108" t="s">
        <v>160</v>
      </c>
      <c r="B59" s="109">
        <v>2.0999995799999999E-4</v>
      </c>
      <c r="C59" s="123"/>
      <c r="D59" s="124"/>
      <c r="E59" s="110">
        <f>IFERROR(VLOOKUP("Tl-210",$A$4:$J$32,3)*VLOOKUP("Tl-210",Doses!$A$1:$O$40,3)*$B59,0)</f>
        <v>437.41485974772235</v>
      </c>
      <c r="F59" s="122">
        <f>IFERROR(VLOOKUP("Tl-210",$A$4:$J$32,4)*VLOOKUP("Tl-210",Doses!$A$1:$O$40,12)*$B59,0)</f>
        <v>4.5653214324615512E-4</v>
      </c>
      <c r="G59" s="112">
        <f t="shared" si="58"/>
        <v>437.41531627986558</v>
      </c>
      <c r="H59" s="110">
        <f t="shared" si="53"/>
        <v>16.184349810665744</v>
      </c>
      <c r="I59" s="111">
        <f t="shared" si="54"/>
        <v>1.6891689300107757E-5</v>
      </c>
      <c r="J59" s="112">
        <f t="shared" si="55"/>
        <v>16.184366702355042</v>
      </c>
    </row>
    <row r="60" spans="1:10" ht="15">
      <c r="A60" s="108" t="s">
        <v>161</v>
      </c>
      <c r="B60" s="109">
        <v>1</v>
      </c>
      <c r="C60" s="123"/>
      <c r="D60" s="124"/>
      <c r="E60" s="110">
        <f>IFERROR(VLOOKUP("Pb-210",$A$4:$J$32,3)*VLOOKUP("Pb-210",Doses!$A$1:$O$40,3)*$B60,0)</f>
        <v>2082928.3201462468</v>
      </c>
      <c r="F60" s="122">
        <f>IFERROR(VLOOKUP("Pb-210",$A$4:$J$32,4)*VLOOKUP("Pb-210",Doses!$A$1:$O$40,12)*$B60,0)</f>
        <v>6.8282202180919471</v>
      </c>
      <c r="G60" s="112">
        <f t="shared" si="58"/>
        <v>2082935.148366465</v>
      </c>
      <c r="H60" s="110">
        <f t="shared" si="53"/>
        <v>77068.347845411205</v>
      </c>
      <c r="I60" s="111">
        <f t="shared" si="54"/>
        <v>0.25264414806940227</v>
      </c>
      <c r="J60" s="112">
        <f t="shared" si="55"/>
        <v>77068.600489559278</v>
      </c>
    </row>
    <row r="61" spans="1:10" ht="15">
      <c r="A61" s="108" t="s">
        <v>162</v>
      </c>
      <c r="B61" s="109">
        <v>1</v>
      </c>
      <c r="C61" s="123"/>
      <c r="D61" s="124"/>
      <c r="E61" s="110">
        <f>IFERROR(VLOOKUP("Bi-210",$A$4:$J$32,3)*VLOOKUP("Bi-210",Doses!$A$1:$O$40,3)*$B61,0)</f>
        <v>2082928.3201462468</v>
      </c>
      <c r="F61" s="122">
        <f>IFERROR(VLOOKUP("Bi-210",$A$4:$J$32,4)*VLOOKUP("Bi-210",Doses!$A$1:$O$40,12)*$B61,0)</f>
        <v>2.5494657254236222</v>
      </c>
      <c r="G61" s="112">
        <f t="shared" si="58"/>
        <v>2082930.8696119722</v>
      </c>
      <c r="H61" s="110">
        <f t="shared" ref="H61:H78" si="59">E61/s_1_bq</f>
        <v>77068.347845411205</v>
      </c>
      <c r="I61" s="111">
        <f t="shared" ref="I61:I78" si="60">F61/s_1_bq</f>
        <v>9.4330231840674114E-2</v>
      </c>
      <c r="J61" s="112">
        <f t="shared" ref="J61:J78" si="61">G61/s_1_bq</f>
        <v>77068.442175643053</v>
      </c>
    </row>
    <row r="62" spans="1:10" ht="15">
      <c r="A62" s="108" t="s">
        <v>164</v>
      </c>
      <c r="B62" s="109">
        <v>1</v>
      </c>
      <c r="C62" s="123"/>
      <c r="D62" s="124"/>
      <c r="E62" s="110">
        <f>IFERROR(VLOOKUP("Po-210",$A$4:$J$32,3)*VLOOKUP("Po-210",Doses!$A$1:$O$40,3)*$B62,0)</f>
        <v>2082928.3201462468</v>
      </c>
      <c r="F62" s="122">
        <f>IFERROR(VLOOKUP("Po-210",$A$4:$J$32,4)*VLOOKUP("Po-210",Doses!$A$1:$O$40,12)*$B62,0)</f>
        <v>2.1344364212848927</v>
      </c>
      <c r="G62" s="112">
        <f>SUM(E62:F62)</f>
        <v>2082930.4545826681</v>
      </c>
      <c r="H62" s="110">
        <f t="shared" si="59"/>
        <v>77068.347845411205</v>
      </c>
      <c r="I62" s="111">
        <f t="shared" si="60"/>
        <v>7.8974147587541108E-2</v>
      </c>
      <c r="J62" s="112">
        <f t="shared" si="61"/>
        <v>77068.426819558794</v>
      </c>
    </row>
    <row r="63" spans="1:10" ht="15">
      <c r="A63" s="108" t="s">
        <v>163</v>
      </c>
      <c r="B63" s="109">
        <v>1.9000000000000001E-8</v>
      </c>
      <c r="C63" s="123"/>
      <c r="D63" s="124"/>
      <c r="E63" s="110">
        <f>IFERROR(VLOOKUP("Hg-206",$A$4:$J$32,3)*VLOOKUP("Hg-206",Doses!$A$1:$O$40,3)*$B63,0)</f>
        <v>3.957563808277869E-2</v>
      </c>
      <c r="F63" s="122">
        <f>IFERROR(VLOOKUP("Hg-206",$A$4:$J$32,4)*VLOOKUP("Hg-206",Doses!$A$1:$O$40,12)*$B63,0)</f>
        <v>4.8064346079304251E-8</v>
      </c>
      <c r="G63" s="112">
        <f t="shared" si="58"/>
        <v>3.957568614712477E-2</v>
      </c>
      <c r="H63" s="110">
        <f t="shared" si="59"/>
        <v>1.4642986090628129E-3</v>
      </c>
      <c r="I63" s="111">
        <f t="shared" si="60"/>
        <v>1.7783808049342592E-9</v>
      </c>
      <c r="J63" s="112">
        <f t="shared" si="61"/>
        <v>1.464300387443618E-3</v>
      </c>
    </row>
    <row r="64" spans="1:10" ht="15.75" thickBot="1">
      <c r="A64" s="108" t="s">
        <v>165</v>
      </c>
      <c r="B64" s="109">
        <v>1.339E-6</v>
      </c>
      <c r="C64" s="123"/>
      <c r="D64" s="124"/>
      <c r="E64" s="117">
        <f>IFERROR(VLOOKUP("Tl-206",$A$4:$J$32,3)*VLOOKUP("Tl-206",Doses!$A$1:$O$40,3)*$B64,0)</f>
        <v>2.7890410206758247</v>
      </c>
      <c r="F64" s="118">
        <f>IFERROR(VLOOKUP("Tl-206",$A$4:$J$32,4)*VLOOKUP("Tl-206",Doses!$A$1:$O$40,12)*$B64,0)</f>
        <v>5.2661487338147567E-6</v>
      </c>
      <c r="G64" s="112">
        <f t="shared" si="58"/>
        <v>2.7890462868245587</v>
      </c>
      <c r="H64" s="110">
        <f t="shared" si="59"/>
        <v>0.10319451776500561</v>
      </c>
      <c r="I64" s="111">
        <f t="shared" si="60"/>
        <v>1.948475031511462E-7</v>
      </c>
      <c r="J64" s="112">
        <f t="shared" si="61"/>
        <v>0.10319471261250877</v>
      </c>
    </row>
    <row r="65" spans="1:10" ht="15">
      <c r="A65" s="104" t="s">
        <v>31</v>
      </c>
      <c r="B65" s="104" t="s">
        <v>50</v>
      </c>
      <c r="C65" s="123"/>
      <c r="D65" s="125"/>
      <c r="E65" s="114">
        <f>SUM(E66:E78)</f>
        <v>16663429.389786633</v>
      </c>
      <c r="F65" s="121">
        <f t="shared" ref="F65:G65" si="62">SUM(F66:F78)</f>
        <v>29.527625266230523</v>
      </c>
      <c r="G65" s="116">
        <f t="shared" si="62"/>
        <v>16663458.917411901</v>
      </c>
      <c r="H65" s="114">
        <f t="shared" si="59"/>
        <v>616546.887422106</v>
      </c>
      <c r="I65" s="115">
        <f t="shared" si="60"/>
        <v>1.0925221348505305</v>
      </c>
      <c r="J65" s="116">
        <f t="shared" si="61"/>
        <v>616547.979944241</v>
      </c>
    </row>
    <row r="66" spans="1:10" ht="15">
      <c r="A66" s="108" t="s">
        <v>153</v>
      </c>
      <c r="B66" s="109">
        <v>1</v>
      </c>
      <c r="C66" s="123"/>
      <c r="D66" s="124"/>
      <c r="E66" s="110">
        <f>IFERROR(VLOOKUP("Rn-222",$A$4:$J$32,3)*VLOOKUP("Rn-222",Doses!$A$1:$O$40,3)*$B66,0)</f>
        <v>2082928.3201462468</v>
      </c>
      <c r="F66" s="122">
        <f>IFERROR(VLOOKUP("Rn-222",$A$4:$J$32,4)*VLOOKUP("Rn-222",Doses!$A$1:$O$40,12)*$B66,0)</f>
        <v>2.2036079719746806</v>
      </c>
      <c r="G66" s="112">
        <f t="shared" ref="G66:G67" si="63">SUM(E66:F66)</f>
        <v>2082930.5237542188</v>
      </c>
      <c r="H66" s="110">
        <f t="shared" si="59"/>
        <v>77068.347845411205</v>
      </c>
      <c r="I66" s="111">
        <f t="shared" si="60"/>
        <v>8.1533494963063266E-2</v>
      </c>
      <c r="J66" s="112">
        <f t="shared" si="61"/>
        <v>77068.429378906178</v>
      </c>
    </row>
    <row r="67" spans="1:10" ht="15">
      <c r="A67" s="108" t="s">
        <v>154</v>
      </c>
      <c r="B67" s="109">
        <v>1</v>
      </c>
      <c r="C67" s="123"/>
      <c r="D67" s="124"/>
      <c r="E67" s="110">
        <f>IFERROR(VLOOKUP("Po-218",$A$4:$J$32,3)*VLOOKUP("Po-218",Doses!$A$1:$O$40,3)*$B67,0)</f>
        <v>2082928.3201462468</v>
      </c>
      <c r="F67" s="122">
        <f>IFERROR(VLOOKUP("Po-218",$A$4:$J$32,4)*VLOOKUP("Po-218",Doses!$A$1:$O$40,12)*$B67,0)</f>
        <v>8.8934850886870525</v>
      </c>
      <c r="G67" s="112">
        <f t="shared" si="63"/>
        <v>2082937.2136313354</v>
      </c>
      <c r="H67" s="110">
        <f t="shared" si="59"/>
        <v>77068.347845411205</v>
      </c>
      <c r="I67" s="111">
        <f t="shared" si="60"/>
        <v>0.32905894828142129</v>
      </c>
      <c r="J67" s="112">
        <f t="shared" si="61"/>
        <v>77068.676904359483</v>
      </c>
    </row>
    <row r="68" spans="1:10" ht="15">
      <c r="A68" s="108" t="s">
        <v>156</v>
      </c>
      <c r="B68" s="109">
        <v>2.0000000000000001E-4</v>
      </c>
      <c r="C68" s="123"/>
      <c r="D68" s="124"/>
      <c r="E68" s="110">
        <f>IFERROR(VLOOKUP("At-218",$A$4:$J$32,3)*VLOOKUP("At-218",Doses!$A$1:$O$40,3)*$B68,0)</f>
        <v>416.58566402924936</v>
      </c>
      <c r="F68" s="122">
        <f>IFERROR(VLOOKUP("At-218",$A$4:$J$32,4)*VLOOKUP("At-218",Doses!$A$1:$O$40,12)*$B68,0)</f>
        <v>1.7786970177374106E-3</v>
      </c>
      <c r="G68" s="112">
        <f>SUM(E68:F68)</f>
        <v>416.58744272626711</v>
      </c>
      <c r="H68" s="110">
        <f t="shared" si="59"/>
        <v>15.413669569082241</v>
      </c>
      <c r="I68" s="111">
        <f t="shared" si="60"/>
        <v>6.581178965628426E-5</v>
      </c>
      <c r="J68" s="112">
        <f t="shared" si="61"/>
        <v>15.413735380871898</v>
      </c>
    </row>
    <row r="69" spans="1:10" ht="15">
      <c r="A69" s="108" t="s">
        <v>158</v>
      </c>
      <c r="B69" s="109">
        <v>1.9999999999999999E-7</v>
      </c>
      <c r="C69" s="123"/>
      <c r="D69" s="124"/>
      <c r="E69" s="110">
        <f>IFERROR(VLOOKUP("Rn-218",$A$4:$J$32,3)*VLOOKUP("Rn-218",Doses!$A$1:$O$40,3)*$B69,0)</f>
        <v>0.41658566402924935</v>
      </c>
      <c r="F69" s="122">
        <f>IFERROR(VLOOKUP("Rn-218",$A$4:$J$32,4)*VLOOKUP("Rn-218",Doses!$A$1:$O$40,12)*$B69,0)</f>
        <v>4.407215943949361E-7</v>
      </c>
      <c r="G69" s="112">
        <f>SUM(E69:F69)</f>
        <v>0.41658610475084373</v>
      </c>
      <c r="H69" s="110">
        <f t="shared" si="59"/>
        <v>1.5413669569082241E-2</v>
      </c>
      <c r="I69" s="111">
        <f t="shared" si="60"/>
        <v>1.6306698992612653E-8</v>
      </c>
      <c r="J69" s="112">
        <f t="shared" si="61"/>
        <v>1.5413685875781234E-2</v>
      </c>
    </row>
    <row r="70" spans="1:10" ht="15">
      <c r="A70" s="108" t="s">
        <v>155</v>
      </c>
      <c r="B70" s="109">
        <v>0.99980000000000002</v>
      </c>
      <c r="C70" s="123"/>
      <c r="D70" s="124"/>
      <c r="E70" s="110">
        <f>IFERROR(VLOOKUP("Pb-214",$A$4:$J$32,3)*VLOOKUP("Pb-214",Doses!$A$1:$O$40,3)*$B70,0)</f>
        <v>2082511.7344822176</v>
      </c>
      <c r="F70" s="122">
        <f>IFERROR(VLOOKUP("Pb-214",$A$4:$J$32,4)*VLOOKUP("Pb-214",Doses!$A$1:$O$40,12)*$B70,0)</f>
        <v>2.6872712650378374</v>
      </c>
      <c r="G70" s="112">
        <f t="shared" ref="G70:G75" si="64">SUM(E70:F70)</f>
        <v>2082514.4217534827</v>
      </c>
      <c r="H70" s="110">
        <f t="shared" si="59"/>
        <v>77052.934175842121</v>
      </c>
      <c r="I70" s="111">
        <f t="shared" si="60"/>
        <v>9.9429036806400084E-2</v>
      </c>
      <c r="J70" s="112">
        <f t="shared" si="61"/>
        <v>77053.033604878932</v>
      </c>
    </row>
    <row r="71" spans="1:10" ht="15">
      <c r="A71" s="108" t="s">
        <v>157</v>
      </c>
      <c r="B71" s="109">
        <v>0.99999979999999999</v>
      </c>
      <c r="C71" s="123"/>
      <c r="D71" s="124"/>
      <c r="E71" s="110">
        <f>IFERROR(VLOOKUP("Bi-214",$A$4:$J$32,3)*VLOOKUP("Bi-214",Doses!$A$1:$O$40,3)*$B71,0)</f>
        <v>2082927.9035605828</v>
      </c>
      <c r="F71" s="122">
        <f>IFERROR(VLOOKUP("Bi-214",$A$4:$J$32,4)*VLOOKUP("Bi-214",Doses!$A$1:$O$40,12)*$B71,0)</f>
        <v>2.0949094019087635</v>
      </c>
      <c r="G71" s="112">
        <f t="shared" si="64"/>
        <v>2082929.9984699846</v>
      </c>
      <c r="H71" s="110">
        <f t="shared" si="59"/>
        <v>77068.332431741641</v>
      </c>
      <c r="I71" s="111">
        <f t="shared" si="60"/>
        <v>7.7511647870624326E-2</v>
      </c>
      <c r="J71" s="112">
        <f t="shared" si="61"/>
        <v>77068.409943389503</v>
      </c>
    </row>
    <row r="72" spans="1:10" ht="15">
      <c r="A72" s="108" t="s">
        <v>159</v>
      </c>
      <c r="B72" s="109">
        <v>0.99979000004200003</v>
      </c>
      <c r="C72" s="123"/>
      <c r="D72" s="124"/>
      <c r="E72" s="110">
        <f>IFERROR(VLOOKUP("Po-214",$A$4:$J$32,3)*VLOOKUP("Po-214",Doses!$A$1:$O$40,3)*$B72,0)</f>
        <v>2082490.9052864991</v>
      </c>
      <c r="F72" s="122">
        <f>IFERROR(VLOOKUP("Po-214",$A$4:$J$32,4)*VLOOKUP("Po-214",Doses!$A$1:$O$40,12)*$B72,0)</f>
        <v>2.1339881897260695</v>
      </c>
      <c r="G72" s="112">
        <f t="shared" si="64"/>
        <v>2082493.0392746888</v>
      </c>
      <c r="H72" s="110">
        <f t="shared" si="59"/>
        <v>77052.163495600544</v>
      </c>
      <c r="I72" s="111">
        <f t="shared" si="60"/>
        <v>7.8957563019864646E-2</v>
      </c>
      <c r="J72" s="112">
        <f t="shared" si="61"/>
        <v>77052.242453163562</v>
      </c>
    </row>
    <row r="73" spans="1:10" ht="15">
      <c r="A73" s="108" t="s">
        <v>160</v>
      </c>
      <c r="B73" s="109">
        <v>2.0999995799999999E-4</v>
      </c>
      <c r="C73" s="123"/>
      <c r="D73" s="124"/>
      <c r="E73" s="110">
        <f>IFERROR(VLOOKUP("Tl-210",$A$4:$J$32,3)*VLOOKUP("Tl-210",Doses!$A$1:$O$40,3)*$B73,0)</f>
        <v>437.41485974772235</v>
      </c>
      <c r="F73" s="122">
        <f>IFERROR(VLOOKUP("Tl-210",$A$4:$J$32,4)*VLOOKUP("Tl-210",Doses!$A$1:$O$40,12)*$B73,0)</f>
        <v>4.5653214324615512E-4</v>
      </c>
      <c r="G73" s="112">
        <f t="shared" si="64"/>
        <v>437.41531627986558</v>
      </c>
      <c r="H73" s="110">
        <f t="shared" si="59"/>
        <v>16.184349810665744</v>
      </c>
      <c r="I73" s="111">
        <f t="shared" si="60"/>
        <v>1.6891689300107757E-5</v>
      </c>
      <c r="J73" s="112">
        <f t="shared" si="61"/>
        <v>16.184366702355042</v>
      </c>
    </row>
    <row r="74" spans="1:10" ht="15">
      <c r="A74" s="108" t="s">
        <v>161</v>
      </c>
      <c r="B74" s="109">
        <v>1</v>
      </c>
      <c r="C74" s="123"/>
      <c r="D74" s="124"/>
      <c r="E74" s="110">
        <f>IFERROR(VLOOKUP("Pb-210",$A$4:$J$32,3)*VLOOKUP("Pb-210",Doses!$A$1:$O$40,3)*$B74,0)</f>
        <v>2082928.3201462468</v>
      </c>
      <c r="F74" s="122">
        <f>IFERROR(VLOOKUP("Pb-210",$A$4:$J$32,4)*VLOOKUP("Pb-210",Doses!$A$1:$O$40,12)*$B74,0)</f>
        <v>6.8282202180919471</v>
      </c>
      <c r="G74" s="112">
        <f t="shared" si="64"/>
        <v>2082935.148366465</v>
      </c>
      <c r="H74" s="110">
        <f t="shared" si="59"/>
        <v>77068.347845411205</v>
      </c>
      <c r="I74" s="111">
        <f t="shared" si="60"/>
        <v>0.25264414806940227</v>
      </c>
      <c r="J74" s="112">
        <f t="shared" si="61"/>
        <v>77068.600489559278</v>
      </c>
    </row>
    <row r="75" spans="1:10" ht="15">
      <c r="A75" s="108" t="s">
        <v>162</v>
      </c>
      <c r="B75" s="109">
        <v>1</v>
      </c>
      <c r="C75" s="123"/>
      <c r="D75" s="124"/>
      <c r="E75" s="110">
        <f>IFERROR(VLOOKUP("Bi-210",$A$4:$J$32,3)*VLOOKUP("Bi-210",Doses!$A$1:$O$40,3)*$B75,0)</f>
        <v>2082928.3201462468</v>
      </c>
      <c r="F75" s="122">
        <f>IFERROR(VLOOKUP("Bi-210",$A$4:$J$32,4)*VLOOKUP("Bi-210",Doses!$A$1:$O$40,12)*$B75,0)</f>
        <v>2.5494657254236222</v>
      </c>
      <c r="G75" s="112">
        <f t="shared" si="64"/>
        <v>2082930.8696119722</v>
      </c>
      <c r="H75" s="110">
        <f t="shared" si="59"/>
        <v>77068.347845411205</v>
      </c>
      <c r="I75" s="111">
        <f t="shared" si="60"/>
        <v>9.4330231840674114E-2</v>
      </c>
      <c r="J75" s="112">
        <f t="shared" si="61"/>
        <v>77068.442175643053</v>
      </c>
    </row>
    <row r="76" spans="1:10" ht="15">
      <c r="A76" s="108" t="s">
        <v>164</v>
      </c>
      <c r="B76" s="109">
        <v>1</v>
      </c>
      <c r="C76" s="123"/>
      <c r="D76" s="124"/>
      <c r="E76" s="110">
        <f>IFERROR(VLOOKUP("Po-210",$A$4:$J$32,3)*VLOOKUP("Po-210",Doses!$A$1:$O$40,3)*$B76,0)</f>
        <v>2082928.3201462468</v>
      </c>
      <c r="F76" s="122">
        <f>IFERROR(VLOOKUP("Po-210",$A$4:$J$32,4)*VLOOKUP("Po-210",Doses!$A$1:$O$40,12)*$B76,0)</f>
        <v>2.1344364212848927</v>
      </c>
      <c r="G76" s="112">
        <f>SUM(E76:F76)</f>
        <v>2082930.4545826681</v>
      </c>
      <c r="H76" s="110">
        <f t="shared" si="59"/>
        <v>77068.347845411205</v>
      </c>
      <c r="I76" s="111">
        <f t="shared" si="60"/>
        <v>7.8974147587541108E-2</v>
      </c>
      <c r="J76" s="112">
        <f t="shared" si="61"/>
        <v>77068.426819558794</v>
      </c>
    </row>
    <row r="77" spans="1:10" ht="15">
      <c r="A77" s="108" t="s">
        <v>163</v>
      </c>
      <c r="B77" s="109">
        <v>1.9000000000000001E-8</v>
      </c>
      <c r="C77" s="123"/>
      <c r="D77" s="124"/>
      <c r="E77" s="110">
        <f>IFERROR(VLOOKUP("Hg-206",$A$4:$J$32,3)*VLOOKUP("Hg-206",Doses!$A$1:$O$40,3)*$B77,0)</f>
        <v>3.957563808277869E-2</v>
      </c>
      <c r="F77" s="122">
        <f>IFERROR(VLOOKUP("Hg-206",$A$4:$J$32,4)*VLOOKUP("Hg-206",Doses!$A$1:$O$40,12)*$B77,0)</f>
        <v>4.8064346079304251E-8</v>
      </c>
      <c r="G77" s="112">
        <f t="shared" ref="G77:G78" si="65">SUM(E77:F77)</f>
        <v>3.957568614712477E-2</v>
      </c>
      <c r="H77" s="110">
        <f t="shared" si="59"/>
        <v>1.4642986090628129E-3</v>
      </c>
      <c r="I77" s="111">
        <f t="shared" si="60"/>
        <v>1.7783808049342592E-9</v>
      </c>
      <c r="J77" s="112">
        <f t="shared" si="61"/>
        <v>1.464300387443618E-3</v>
      </c>
    </row>
    <row r="78" spans="1:10" ht="15.75" thickBot="1">
      <c r="A78" s="108" t="s">
        <v>165</v>
      </c>
      <c r="B78" s="109">
        <v>1.339E-6</v>
      </c>
      <c r="C78" s="123"/>
      <c r="D78" s="124"/>
      <c r="E78" s="117">
        <f>IFERROR(VLOOKUP("Tl-206",$A$4:$J$32,3)*VLOOKUP("Tl-206",Doses!$A$1:$O$40,3)*$B78,0)</f>
        <v>2.7890410206758247</v>
      </c>
      <c r="F78" s="118">
        <f>IFERROR(VLOOKUP("Tl-206",$A$4:$J$32,4)*VLOOKUP("Tl-206",Doses!$A$1:$O$40,12)*$B78,0)</f>
        <v>5.2661487338147567E-6</v>
      </c>
      <c r="G78" s="112">
        <f t="shared" si="65"/>
        <v>2.7890462868245587</v>
      </c>
      <c r="H78" s="110">
        <f t="shared" si="59"/>
        <v>0.10319451776500561</v>
      </c>
      <c r="I78" s="111">
        <f t="shared" si="60"/>
        <v>1.948475031511462E-7</v>
      </c>
      <c r="J78" s="112">
        <f t="shared" si="61"/>
        <v>0.10319471261250877</v>
      </c>
    </row>
  </sheetData>
  <sheetProtection algorithmName="SHA-512" hashValue="uI2KuBCIoDR6gJMF74Ho3cX4aC/4xXFtZ6NQrHVe60pF26ZegWMf6Cl4ERoZtd9w2YYgtQ4bo6Pqk+dulRoXyQ==" saltValue="nrawuAnIiA9qYuSRy77ZAw==" spinCount="100000" sheet="1" formatCells="0" formatColumns="0" formatRows="0" insertColumns="0" insertRows="0" autoFilter="0"/>
  <autoFilter ref="A2:J78" xr:uid="{00000000-0009-0000-0000-000014000000}"/>
  <mergeCells count="3">
    <mergeCell ref="E1:G1"/>
    <mergeCell ref="H1:J1"/>
    <mergeCell ref="C1:D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tint="0.79998168889431442"/>
  </sheetPr>
  <dimension ref="A1:J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12.7109375" defaultRowHeight="12.75"/>
  <cols>
    <col min="1" max="1" width="12.5703125" style="22" bestFit="1" customWidth="1"/>
    <col min="2" max="2" width="12" style="22" bestFit="1" customWidth="1"/>
    <col min="3" max="4" width="12" style="22" customWidth="1"/>
    <col min="5" max="5" width="12.140625" style="22" bestFit="1" customWidth="1"/>
    <col min="6" max="6" width="12.7109375" style="22" bestFit="1" customWidth="1"/>
    <col min="7" max="7" width="11.85546875" style="22" bestFit="1" customWidth="1"/>
    <col min="8" max="8" width="12.140625" style="22" bestFit="1" customWidth="1"/>
    <col min="9" max="9" width="12.7109375" style="22" bestFit="1" customWidth="1"/>
    <col min="10" max="10" width="11.85546875" style="22" bestFit="1" customWidth="1"/>
  </cols>
  <sheetData>
    <row r="1" spans="1:10" ht="13.5" thickBot="1">
      <c r="C1" s="147" t="s">
        <v>227</v>
      </c>
      <c r="D1" s="148"/>
      <c r="E1" s="143" t="s">
        <v>51</v>
      </c>
      <c r="F1" s="143"/>
      <c r="G1" s="144"/>
      <c r="H1" s="143" t="s">
        <v>100</v>
      </c>
      <c r="I1" s="143"/>
      <c r="J1" s="144"/>
    </row>
    <row r="2" spans="1:10">
      <c r="A2" s="11" t="s">
        <v>0</v>
      </c>
      <c r="B2" s="11" t="s">
        <v>43</v>
      </c>
      <c r="C2" s="91" t="s">
        <v>222</v>
      </c>
      <c r="D2" s="92" t="s">
        <v>223</v>
      </c>
      <c r="E2" s="35" t="s">
        <v>201</v>
      </c>
      <c r="F2" s="36" t="s">
        <v>202</v>
      </c>
      <c r="G2" s="37" t="s">
        <v>203</v>
      </c>
      <c r="H2" s="36" t="s">
        <v>201</v>
      </c>
      <c r="I2" s="36" t="s">
        <v>202</v>
      </c>
      <c r="J2" s="38" t="s">
        <v>203</v>
      </c>
    </row>
    <row r="3" spans="1:10" ht="13.5" thickBot="1">
      <c r="B3" s="26" t="s">
        <v>44</v>
      </c>
      <c r="C3" s="93" t="s">
        <v>218</v>
      </c>
      <c r="D3" s="94" t="s">
        <v>218</v>
      </c>
      <c r="E3" s="100" t="s">
        <v>219</v>
      </c>
      <c r="F3" s="101" t="s">
        <v>219</v>
      </c>
      <c r="G3" s="102" t="s">
        <v>219</v>
      </c>
      <c r="H3" s="100" t="s">
        <v>219</v>
      </c>
      <c r="I3" s="101" t="s">
        <v>219</v>
      </c>
      <c r="J3" s="102" t="s">
        <v>219</v>
      </c>
    </row>
    <row r="4" spans="1:10">
      <c r="A4" s="82" t="s">
        <v>23</v>
      </c>
      <c r="B4" s="12" t="s">
        <v>50</v>
      </c>
      <c r="C4" s="127">
        <f t="shared" ref="C4:C5" si="0">s_C*s_IRAiw*s_EFiw*s_ETiw*(1/24)*s_Fin*s_Fi</f>
        <v>6875</v>
      </c>
      <c r="D4" s="127">
        <f t="shared" ref="D4:D5" si="1">s_C*s_EFres*(1/365)*s_ETres*(1/24)*s_GSFa*s_Fin*s_Fi</f>
        <v>0.3139269406392694</v>
      </c>
      <c r="E4" s="2">
        <f>C4*Doses!H2</f>
        <v>34375</v>
      </c>
      <c r="F4" s="3">
        <f>D4*Doses!J2</f>
        <v>1.5696347031963471</v>
      </c>
      <c r="G4" s="103">
        <f>SUM((C4*Doses!H2),(D4*Doses!J2))</f>
        <v>34376.569634703199</v>
      </c>
      <c r="H4" s="3">
        <f t="shared" ref="H4:H5" si="2">IFERROR(E4/s_1_bq,".")</f>
        <v>1271.8750000000014</v>
      </c>
      <c r="I4" s="3">
        <f t="shared" ref="I4:I5" si="3">IFERROR(F4/s_1_bq,".")</f>
        <v>5.8076484018264901E-2</v>
      </c>
      <c r="J4" s="4">
        <f t="shared" ref="J4:J5" si="4">IFERROR(G4/s_1_bq,".")</f>
        <v>1271.9330764840197</v>
      </c>
    </row>
    <row r="5" spans="1:10">
      <c r="A5" s="83" t="s">
        <v>14</v>
      </c>
      <c r="B5" s="12" t="s">
        <v>44</v>
      </c>
      <c r="C5" s="127">
        <f t="shared" si="0"/>
        <v>6875</v>
      </c>
      <c r="D5" s="127">
        <f t="shared" si="1"/>
        <v>0.3139269406392694</v>
      </c>
      <c r="E5" s="2">
        <f>C5*Doses!H3</f>
        <v>34375</v>
      </c>
      <c r="F5" s="3">
        <f>D5*Doses!J3</f>
        <v>1.5696347031963471</v>
      </c>
      <c r="G5" s="103">
        <f>SUM((C5*Doses!H3),(D5*Doses!J3))</f>
        <v>34376.569634703199</v>
      </c>
      <c r="H5" s="3">
        <f t="shared" si="2"/>
        <v>1271.8750000000014</v>
      </c>
      <c r="I5" s="3">
        <f t="shared" si="3"/>
        <v>5.8076484018264901E-2</v>
      </c>
      <c r="J5" s="4">
        <f t="shared" si="4"/>
        <v>1271.9330764840197</v>
      </c>
    </row>
    <row r="6" spans="1:10">
      <c r="A6" s="82" t="s">
        <v>15</v>
      </c>
      <c r="B6" s="12" t="s">
        <v>50</v>
      </c>
      <c r="C6" s="127">
        <f t="shared" ref="C6:C8" si="5">s_C*s_IRAiw*s_EFiw*s_ETiw*(1/24)*s_Fin*s_Fi</f>
        <v>6875</v>
      </c>
      <c r="D6" s="127">
        <f t="shared" ref="D6:D8" si="6">s_C*s_EFres*(1/365)*s_ETres*(1/24)*s_GSFa*s_Fin*s_Fi</f>
        <v>0.3139269406392694</v>
      </c>
      <c r="E6" s="2">
        <f>C6*Doses!H4</f>
        <v>34375</v>
      </c>
      <c r="F6" s="3">
        <f>D6*Doses!J4</f>
        <v>1.5696347031963471</v>
      </c>
      <c r="G6" s="103">
        <f>SUM((C6*Doses!H4),(D6*Doses!J4))</f>
        <v>34376.569634703199</v>
      </c>
      <c r="H6" s="3">
        <f t="shared" ref="H6:H8" si="7">IFERROR(E6/s_1_bq,".")</f>
        <v>1271.8750000000014</v>
      </c>
      <c r="I6" s="3">
        <f t="shared" ref="I6:I8" si="8">IFERROR(F6/s_1_bq,".")</f>
        <v>5.8076484018264901E-2</v>
      </c>
      <c r="J6" s="4">
        <f t="shared" ref="J6:J8" si="9">IFERROR(G6/s_1_bq,".")</f>
        <v>1271.9330764840197</v>
      </c>
    </row>
    <row r="7" spans="1:10">
      <c r="A7" s="82" t="s">
        <v>16</v>
      </c>
      <c r="B7" s="84" t="s">
        <v>50</v>
      </c>
      <c r="C7" s="127">
        <f t="shared" si="5"/>
        <v>6875</v>
      </c>
      <c r="D7" s="127">
        <f t="shared" si="6"/>
        <v>0.3139269406392694</v>
      </c>
      <c r="E7" s="2">
        <f>C7*Doses!H5</f>
        <v>34375</v>
      </c>
      <c r="F7" s="3">
        <f>D7*Doses!J5</f>
        <v>1.5696347031963471</v>
      </c>
      <c r="G7" s="103">
        <f>SUM((C7*Doses!H5),(D7*Doses!J5))</f>
        <v>34376.569634703199</v>
      </c>
      <c r="H7" s="3">
        <f t="shared" si="7"/>
        <v>1271.8750000000014</v>
      </c>
      <c r="I7" s="3">
        <f t="shared" si="8"/>
        <v>5.8076484018264901E-2</v>
      </c>
      <c r="J7" s="4">
        <f t="shared" si="9"/>
        <v>1271.9330764840197</v>
      </c>
    </row>
    <row r="8" spans="1:10">
      <c r="A8" s="82" t="s">
        <v>18</v>
      </c>
      <c r="B8" s="12" t="s">
        <v>50</v>
      </c>
      <c r="C8" s="127">
        <f t="shared" si="5"/>
        <v>6875</v>
      </c>
      <c r="D8" s="127">
        <f t="shared" si="6"/>
        <v>0.3139269406392694</v>
      </c>
      <c r="E8" s="2">
        <f>C8*Doses!H6</f>
        <v>34375</v>
      </c>
      <c r="F8" s="3">
        <f>D8*Doses!J6</f>
        <v>1.5696347031963471</v>
      </c>
      <c r="G8" s="103">
        <f>SUM((C8*Doses!H6),(D8*Doses!J6))</f>
        <v>34376.569634703199</v>
      </c>
      <c r="H8" s="3">
        <f t="shared" si="7"/>
        <v>1271.8750000000014</v>
      </c>
      <c r="I8" s="3">
        <f t="shared" si="8"/>
        <v>5.8076484018264901E-2</v>
      </c>
      <c r="J8" s="4">
        <f t="shared" si="9"/>
        <v>1271.9330764840197</v>
      </c>
    </row>
    <row r="9" spans="1:10">
      <c r="A9" s="82" t="s">
        <v>19</v>
      </c>
      <c r="B9" s="85" t="s">
        <v>50</v>
      </c>
      <c r="C9" s="127">
        <f t="shared" ref="C9:C11" si="10">s_C*s_IRAiw*s_EFiw*s_ETiw*(1/24)*s_Fin*s_Fi</f>
        <v>6875</v>
      </c>
      <c r="D9" s="127">
        <f t="shared" ref="D9:D11" si="11">s_C*s_EFres*(1/365)*s_ETres*(1/24)*s_GSFa*s_Fin*s_Fi</f>
        <v>0.3139269406392694</v>
      </c>
      <c r="E9" s="2">
        <f>C9*Doses!H7</f>
        <v>34375</v>
      </c>
      <c r="F9" s="3">
        <f>D9*Doses!J7</f>
        <v>1.5696347031963471</v>
      </c>
      <c r="G9" s="103">
        <f>SUM((C9*Doses!H7),(D9*Doses!J7))</f>
        <v>34376.569634703199</v>
      </c>
      <c r="H9" s="3">
        <f t="shared" ref="H9:H11" si="12">IFERROR(E9/s_1_bq,".")</f>
        <v>1271.8750000000014</v>
      </c>
      <c r="I9" s="3">
        <f t="shared" ref="I9:I11" si="13">IFERROR(F9/s_1_bq,".")</f>
        <v>5.8076484018264901E-2</v>
      </c>
      <c r="J9" s="4">
        <f t="shared" ref="J9:J11" si="14">IFERROR(G9/s_1_bq,".")</f>
        <v>1271.9330764840197</v>
      </c>
    </row>
    <row r="10" spans="1:10">
      <c r="A10" s="82" t="s">
        <v>20</v>
      </c>
      <c r="B10" s="12" t="s">
        <v>50</v>
      </c>
      <c r="C10" s="127">
        <f t="shared" si="10"/>
        <v>6875</v>
      </c>
      <c r="D10" s="127">
        <f t="shared" si="11"/>
        <v>0.3139269406392694</v>
      </c>
      <c r="E10" s="2">
        <f>C10*Doses!H8</f>
        <v>34375</v>
      </c>
      <c r="F10" s="3">
        <f>D10*Doses!J8</f>
        <v>1.5696347031963471</v>
      </c>
      <c r="G10" s="103">
        <f>SUM((C10*Doses!H8),(D10*Doses!J8))</f>
        <v>34376.569634703199</v>
      </c>
      <c r="H10" s="3">
        <f t="shared" si="12"/>
        <v>1271.8750000000014</v>
      </c>
      <c r="I10" s="3">
        <f t="shared" si="13"/>
        <v>5.8076484018264901E-2</v>
      </c>
      <c r="J10" s="4">
        <f t="shared" si="14"/>
        <v>1271.9330764840197</v>
      </c>
    </row>
    <row r="11" spans="1:10">
      <c r="A11" s="82" t="s">
        <v>21</v>
      </c>
      <c r="B11" s="85" t="s">
        <v>50</v>
      </c>
      <c r="C11" s="127">
        <f t="shared" si="10"/>
        <v>6875</v>
      </c>
      <c r="D11" s="127">
        <f t="shared" si="11"/>
        <v>0.3139269406392694</v>
      </c>
      <c r="E11" s="2">
        <f>C11*Doses!H9</f>
        <v>34375</v>
      </c>
      <c r="F11" s="3">
        <f>D11*Doses!J9</f>
        <v>1.5696347031963471</v>
      </c>
      <c r="G11" s="103">
        <f>SUM((C11*Doses!H9),(D11*Doses!J9))</f>
        <v>34376.569634703199</v>
      </c>
      <c r="H11" s="3">
        <f t="shared" si="12"/>
        <v>1271.8750000000014</v>
      </c>
      <c r="I11" s="3">
        <f t="shared" si="13"/>
        <v>5.8076484018264901E-2</v>
      </c>
      <c r="J11" s="4">
        <f t="shared" si="14"/>
        <v>1271.9330764840197</v>
      </c>
    </row>
    <row r="12" spans="1:10">
      <c r="A12" s="83" t="s">
        <v>17</v>
      </c>
      <c r="B12" s="12" t="s">
        <v>44</v>
      </c>
      <c r="C12" s="127">
        <f t="shared" ref="C12" si="15">s_C*s_IRAiw*s_EFiw*s_ETiw*(1/24)*s_Fin*s_Fi</f>
        <v>6875</v>
      </c>
      <c r="D12" s="127">
        <f t="shared" ref="D12" si="16">s_C*s_EFres*(1/365)*s_ETres*(1/24)*s_GSFa*s_Fin*s_Fi</f>
        <v>0.3139269406392694</v>
      </c>
      <c r="E12" s="2">
        <f>C12*Doses!H10</f>
        <v>34375</v>
      </c>
      <c r="F12" s="3">
        <f>D12*Doses!J10</f>
        <v>1.5696347031963471</v>
      </c>
      <c r="G12" s="103">
        <f>SUM((C12*Doses!H10),(D12*Doses!J10))</f>
        <v>34376.569634703199</v>
      </c>
      <c r="H12" s="3">
        <f t="shared" ref="H12" si="17">IFERROR(E12/s_1_bq,".")</f>
        <v>1271.8750000000014</v>
      </c>
      <c r="I12" s="3">
        <f t="shared" ref="I12" si="18">IFERROR(F12/s_1_bq,".")</f>
        <v>5.8076484018264901E-2</v>
      </c>
      <c r="J12" s="4">
        <f t="shared" ref="J12" si="19">IFERROR(G12/s_1_bq,".")</f>
        <v>1271.9330764840197</v>
      </c>
    </row>
    <row r="13" spans="1:10">
      <c r="A13" s="82" t="s">
        <v>24</v>
      </c>
      <c r="B13" s="12" t="s">
        <v>50</v>
      </c>
      <c r="C13" s="127">
        <f t="shared" ref="C13" si="20">s_C*s_IRAiw*s_EFiw*s_ETiw*(1/24)*s_Fin*s_Fi</f>
        <v>6875</v>
      </c>
      <c r="D13" s="127">
        <f t="shared" ref="D13" si="21">s_C*s_EFres*(1/365)*s_ETres*(1/24)*s_GSFa*s_Fin*s_Fi</f>
        <v>0.3139269406392694</v>
      </c>
      <c r="E13" s="2">
        <f>C13*Doses!H11</f>
        <v>34375</v>
      </c>
      <c r="F13" s="3">
        <f>D13*Doses!J11</f>
        <v>1.5696347031963471</v>
      </c>
      <c r="G13" s="103">
        <f>SUM((C13*Doses!H11),(D13*Doses!J11))</f>
        <v>34376.569634703199</v>
      </c>
      <c r="H13" s="3">
        <f t="shared" ref="H13" si="22">IFERROR(E13/s_1_bq,".")</f>
        <v>1271.8750000000014</v>
      </c>
      <c r="I13" s="3">
        <f t="shared" ref="I13" si="23">IFERROR(F13/s_1_bq,".")</f>
        <v>5.8076484018264901E-2</v>
      </c>
      <c r="J13" s="4">
        <f t="shared" ref="J13" si="24">IFERROR(G13/s_1_bq,".")</f>
        <v>1271.9330764840197</v>
      </c>
    </row>
    <row r="14" spans="1:10">
      <c r="A14" s="82" t="s">
        <v>22</v>
      </c>
      <c r="B14" s="84" t="s">
        <v>50</v>
      </c>
      <c r="C14" s="127">
        <f t="shared" ref="C14" si="25">s_C*s_IRAiw*s_EFiw*s_ETiw*(1/24)*s_Fin*s_Fi</f>
        <v>6875</v>
      </c>
      <c r="D14" s="127">
        <f t="shared" ref="D14" si="26">s_C*s_EFres*(1/365)*s_ETres*(1/24)*s_GSFa*s_Fin*s_Fi</f>
        <v>0.3139269406392694</v>
      </c>
      <c r="E14" s="2">
        <f>C14*Doses!H12</f>
        <v>34375</v>
      </c>
      <c r="F14" s="3">
        <f>D14*Doses!J12</f>
        <v>1.5696347031963471</v>
      </c>
      <c r="G14" s="103">
        <f>SUM((C14*Doses!H12),(D14*Doses!J12))</f>
        <v>34376.569634703199</v>
      </c>
      <c r="H14" s="3">
        <f t="shared" ref="H14" si="27">IFERROR(E14/s_1_bq,".")</f>
        <v>1271.8750000000014</v>
      </c>
      <c r="I14" s="3">
        <f t="shared" ref="I14" si="28">IFERROR(F14/s_1_bq,".")</f>
        <v>5.8076484018264901E-2</v>
      </c>
      <c r="J14" s="4">
        <f t="shared" ref="J14" si="29">IFERROR(G14/s_1_bq,".")</f>
        <v>1271.9330764840197</v>
      </c>
    </row>
    <row r="15" spans="1:10">
      <c r="A15" s="82" t="s">
        <v>28</v>
      </c>
      <c r="B15" s="12" t="s">
        <v>50</v>
      </c>
      <c r="C15" s="127">
        <f t="shared" ref="C15:C16" si="30">s_C*s_IRAiw*s_EFiw*s_ETiw*(1/24)*s_Fin*s_Fi</f>
        <v>6875</v>
      </c>
      <c r="D15" s="127">
        <f t="shared" ref="D15:D16" si="31">s_C*s_EFres*(1/365)*s_ETres*(1/24)*s_GSFa*s_Fin*s_Fi</f>
        <v>0.3139269406392694</v>
      </c>
      <c r="E15" s="2">
        <f>C15*Doses!H13</f>
        <v>34375</v>
      </c>
      <c r="F15" s="3">
        <f>D15*Doses!J13</f>
        <v>1.5696347031963471</v>
      </c>
      <c r="G15" s="103">
        <f>SUM((C15*Doses!H13),(D15*Doses!J13))</f>
        <v>34376.569634703199</v>
      </c>
      <c r="H15" s="3">
        <f t="shared" ref="H15:H16" si="32">IFERROR(E15/s_1_bq,".")</f>
        <v>1271.8750000000014</v>
      </c>
      <c r="I15" s="3">
        <f t="shared" ref="I15:I16" si="33">IFERROR(F15/s_1_bq,".")</f>
        <v>5.8076484018264901E-2</v>
      </c>
      <c r="J15" s="4">
        <f t="shared" ref="J15:J16" si="34">IFERROR(G15/s_1_bq,".")</f>
        <v>1271.9330764840197</v>
      </c>
    </row>
    <row r="16" spans="1:10">
      <c r="A16" s="82" t="s">
        <v>29</v>
      </c>
      <c r="B16" s="12" t="s">
        <v>50</v>
      </c>
      <c r="C16" s="127">
        <f t="shared" si="30"/>
        <v>6875</v>
      </c>
      <c r="D16" s="127">
        <f t="shared" si="31"/>
        <v>0.3139269406392694</v>
      </c>
      <c r="E16" s="2">
        <f>C16*Doses!H14</f>
        <v>34375</v>
      </c>
      <c r="F16" s="3">
        <f>D16*Doses!J14</f>
        <v>1.5696347031963471</v>
      </c>
      <c r="G16" s="103">
        <f>SUM((C16*Doses!H14),(D16*Doses!J14))</f>
        <v>34376.569634703199</v>
      </c>
      <c r="H16" s="3">
        <f t="shared" si="32"/>
        <v>1271.8750000000014</v>
      </c>
      <c r="I16" s="3">
        <f t="shared" si="33"/>
        <v>5.8076484018264901E-2</v>
      </c>
      <c r="J16" s="4">
        <f t="shared" si="34"/>
        <v>1271.9330764840197</v>
      </c>
    </row>
    <row r="17" spans="1:10">
      <c r="A17" s="82" t="s">
        <v>32</v>
      </c>
      <c r="B17" s="12" t="s">
        <v>50</v>
      </c>
      <c r="C17" s="127">
        <f t="shared" ref="C17:C23" si="35">s_C*s_IRAiw*s_EFiw*s_ETiw*(1/24)*s_Fin*s_Fi</f>
        <v>6875</v>
      </c>
      <c r="D17" s="127">
        <f t="shared" ref="D17:D23" si="36">s_C*s_EFres*(1/365)*s_ETres*(1/24)*s_GSFa*s_Fin*s_Fi</f>
        <v>0.3139269406392694</v>
      </c>
      <c r="E17" s="2">
        <f>C17*Doses!H15</f>
        <v>34375</v>
      </c>
      <c r="F17" s="3">
        <f>D17*Doses!J15</f>
        <v>1.5696347031963471</v>
      </c>
      <c r="G17" s="103">
        <f>SUM((C17*Doses!H15),(D17*Doses!J15))</f>
        <v>34376.569634703199</v>
      </c>
      <c r="H17" s="3">
        <f t="shared" ref="H17:H23" si="37">IFERROR(E17/s_1_bq,".")</f>
        <v>1271.8750000000014</v>
      </c>
      <c r="I17" s="3">
        <f t="shared" ref="I17:I23" si="38">IFERROR(F17/s_1_bq,".")</f>
        <v>5.8076484018264901E-2</v>
      </c>
      <c r="J17" s="4">
        <f t="shared" ref="J17:J23" si="39">IFERROR(G17/s_1_bq,".")</f>
        <v>1271.9330764840197</v>
      </c>
    </row>
    <row r="18" spans="1:10">
      <c r="A18" s="82" t="s">
        <v>33</v>
      </c>
      <c r="B18" s="85" t="s">
        <v>50</v>
      </c>
      <c r="C18" s="127">
        <f t="shared" si="35"/>
        <v>6875</v>
      </c>
      <c r="D18" s="127">
        <f t="shared" si="36"/>
        <v>0.3139269406392694</v>
      </c>
      <c r="E18" s="2">
        <f>C18*Doses!H16</f>
        <v>34375</v>
      </c>
      <c r="F18" s="3">
        <f>D18*Doses!J16</f>
        <v>1.5696347031963471</v>
      </c>
      <c r="G18" s="103">
        <f>SUM((C18*Doses!H16),(D18*Doses!J16))</f>
        <v>34376.569634703199</v>
      </c>
      <c r="H18" s="3">
        <f t="shared" si="37"/>
        <v>1271.8750000000014</v>
      </c>
      <c r="I18" s="3">
        <f t="shared" si="38"/>
        <v>5.8076484018264901E-2</v>
      </c>
      <c r="J18" s="4">
        <f t="shared" si="39"/>
        <v>1271.9330764840197</v>
      </c>
    </row>
    <row r="19" spans="1:10">
      <c r="A19" s="82" t="s">
        <v>34</v>
      </c>
      <c r="B19" s="85" t="s">
        <v>50</v>
      </c>
      <c r="C19" s="127">
        <f t="shared" si="35"/>
        <v>6875</v>
      </c>
      <c r="D19" s="127">
        <f t="shared" si="36"/>
        <v>0.3139269406392694</v>
      </c>
      <c r="E19" s="2">
        <f>C19*Doses!H17</f>
        <v>34375</v>
      </c>
      <c r="F19" s="3">
        <f>D19*Doses!J17</f>
        <v>1.5696347031963471</v>
      </c>
      <c r="G19" s="103">
        <f>SUM((C19*Doses!H17),(D19*Doses!J17))</f>
        <v>34376.569634703199</v>
      </c>
      <c r="H19" s="3">
        <f t="shared" si="37"/>
        <v>1271.8750000000014</v>
      </c>
      <c r="I19" s="3">
        <f t="shared" si="38"/>
        <v>5.8076484018264901E-2</v>
      </c>
      <c r="J19" s="4">
        <f t="shared" si="39"/>
        <v>1271.9330764840197</v>
      </c>
    </row>
    <row r="20" spans="1:10">
      <c r="A20" s="82" t="s">
        <v>36</v>
      </c>
      <c r="B20" s="85" t="s">
        <v>50</v>
      </c>
      <c r="C20" s="127">
        <f t="shared" si="35"/>
        <v>6875</v>
      </c>
      <c r="D20" s="127">
        <f t="shared" si="36"/>
        <v>0.3139269406392694</v>
      </c>
      <c r="E20" s="2">
        <f>C20*Doses!H18</f>
        <v>34375</v>
      </c>
      <c r="F20" s="3">
        <f>D20*Doses!J18</f>
        <v>1.5696347031963471</v>
      </c>
      <c r="G20" s="103">
        <f>SUM((C20*Doses!H18),(D20*Doses!J18))</f>
        <v>34376.569634703199</v>
      </c>
      <c r="H20" s="3">
        <f t="shared" si="37"/>
        <v>1271.8750000000014</v>
      </c>
      <c r="I20" s="3">
        <f t="shared" si="38"/>
        <v>5.8076484018264901E-2</v>
      </c>
      <c r="J20" s="4">
        <f t="shared" si="39"/>
        <v>1271.9330764840197</v>
      </c>
    </row>
    <row r="21" spans="1:10">
      <c r="A21" s="82" t="s">
        <v>37</v>
      </c>
      <c r="B21" s="12" t="s">
        <v>50</v>
      </c>
      <c r="C21" s="127">
        <f t="shared" si="35"/>
        <v>6875</v>
      </c>
      <c r="D21" s="127">
        <f t="shared" si="36"/>
        <v>0.3139269406392694</v>
      </c>
      <c r="E21" s="2">
        <f>C21*Doses!H19</f>
        <v>34375</v>
      </c>
      <c r="F21" s="3">
        <f>D21*Doses!J19</f>
        <v>1.5696347031963471</v>
      </c>
      <c r="G21" s="103">
        <f>SUM((C21*Doses!H19),(D21*Doses!J19))</f>
        <v>34376.569634703199</v>
      </c>
      <c r="H21" s="3">
        <f t="shared" si="37"/>
        <v>1271.8750000000014</v>
      </c>
      <c r="I21" s="3">
        <f t="shared" si="38"/>
        <v>5.8076484018264901E-2</v>
      </c>
      <c r="J21" s="4">
        <f t="shared" si="39"/>
        <v>1271.9330764840197</v>
      </c>
    </row>
    <row r="22" spans="1:10">
      <c r="A22" s="82" t="s">
        <v>38</v>
      </c>
      <c r="B22" s="85" t="s">
        <v>50</v>
      </c>
      <c r="C22" s="127">
        <f t="shared" si="35"/>
        <v>6875</v>
      </c>
      <c r="D22" s="127">
        <f t="shared" si="36"/>
        <v>0.3139269406392694</v>
      </c>
      <c r="E22" s="2">
        <f>C22*Doses!H20</f>
        <v>34375</v>
      </c>
      <c r="F22" s="3">
        <f>D22*Doses!J20</f>
        <v>1.5696347031963471</v>
      </c>
      <c r="G22" s="103">
        <f>SUM((C22*Doses!H20),(D22*Doses!J20))</f>
        <v>34376.569634703199</v>
      </c>
      <c r="H22" s="3">
        <f t="shared" si="37"/>
        <v>1271.8750000000014</v>
      </c>
      <c r="I22" s="3">
        <f t="shared" si="38"/>
        <v>5.8076484018264901E-2</v>
      </c>
      <c r="J22" s="4">
        <f t="shared" si="39"/>
        <v>1271.9330764840197</v>
      </c>
    </row>
    <row r="23" spans="1:10">
      <c r="A23" s="82" t="s">
        <v>39</v>
      </c>
      <c r="B23" s="85" t="s">
        <v>50</v>
      </c>
      <c r="C23" s="127">
        <f t="shared" si="35"/>
        <v>6875</v>
      </c>
      <c r="D23" s="127">
        <f t="shared" si="36"/>
        <v>0.3139269406392694</v>
      </c>
      <c r="E23" s="2">
        <f>C23*Doses!H21</f>
        <v>34375</v>
      </c>
      <c r="F23" s="3">
        <f>D23*Doses!J21</f>
        <v>1.5696347031963471</v>
      </c>
      <c r="G23" s="103">
        <f>SUM((C23*Doses!H21),(D23*Doses!J21))</f>
        <v>34376.569634703199</v>
      </c>
      <c r="H23" s="3">
        <f t="shared" si="37"/>
        <v>1271.8750000000014</v>
      </c>
      <c r="I23" s="3">
        <f t="shared" si="38"/>
        <v>5.8076484018264901E-2</v>
      </c>
      <c r="J23" s="4">
        <f t="shared" si="39"/>
        <v>1271.9330764840197</v>
      </c>
    </row>
    <row r="24" spans="1:10">
      <c r="A24" s="82" t="s">
        <v>26</v>
      </c>
      <c r="B24" s="12" t="s">
        <v>50</v>
      </c>
      <c r="C24" s="127">
        <f t="shared" ref="C24:C25" si="40">s_C*s_IRAiw*s_EFiw*s_ETiw*(1/24)*s_Fin*s_Fi</f>
        <v>6875</v>
      </c>
      <c r="D24" s="127">
        <f t="shared" ref="D24:D25" si="41">s_C*s_EFres*(1/365)*s_ETres*(1/24)*s_GSFa*s_Fin*s_Fi</f>
        <v>0.3139269406392694</v>
      </c>
      <c r="E24" s="2">
        <f>C24*Doses!H22</f>
        <v>34375</v>
      </c>
      <c r="F24" s="3">
        <f>D24*Doses!J22</f>
        <v>1.5696347031963471</v>
      </c>
      <c r="G24" s="103">
        <f>SUM((C24*Doses!H22),(D24*Doses!J22))</f>
        <v>34376.569634703199</v>
      </c>
      <c r="H24" s="3">
        <f t="shared" ref="H24:H25" si="42">IFERROR(E24/s_1_bq,".")</f>
        <v>1271.8750000000014</v>
      </c>
      <c r="I24" s="3">
        <f t="shared" ref="I24:I25" si="43">IFERROR(F24/s_1_bq,".")</f>
        <v>5.8076484018264901E-2</v>
      </c>
      <c r="J24" s="4">
        <f t="shared" ref="J24:J25" si="44">IFERROR(G24/s_1_bq,".")</f>
        <v>1271.9330764840197</v>
      </c>
    </row>
    <row r="25" spans="1:10">
      <c r="A25" s="83" t="s">
        <v>27</v>
      </c>
      <c r="B25" s="85" t="s">
        <v>44</v>
      </c>
      <c r="C25" s="127">
        <f t="shared" si="40"/>
        <v>6875</v>
      </c>
      <c r="D25" s="127">
        <f t="shared" si="41"/>
        <v>0.3139269406392694</v>
      </c>
      <c r="E25" s="2">
        <f>C25*Doses!H23</f>
        <v>34375</v>
      </c>
      <c r="F25" s="3">
        <f>D25*Doses!J23</f>
        <v>1.5696347031963471</v>
      </c>
      <c r="G25" s="103">
        <f>SUM((C25*Doses!H23),(D25*Doses!J23))</f>
        <v>34376.569634703199</v>
      </c>
      <c r="H25" s="3">
        <f t="shared" si="42"/>
        <v>1271.8750000000014</v>
      </c>
      <c r="I25" s="3">
        <f t="shared" si="43"/>
        <v>5.8076484018264901E-2</v>
      </c>
      <c r="J25" s="4">
        <f t="shared" si="44"/>
        <v>1271.9330764840197</v>
      </c>
    </row>
    <row r="26" spans="1:10">
      <c r="A26" s="82" t="s">
        <v>30</v>
      </c>
      <c r="B26" s="85" t="s">
        <v>50</v>
      </c>
      <c r="C26" s="127">
        <f t="shared" ref="C26" si="45">s_C*s_IRAiw*s_EFiw*s_ETiw*(1/24)*s_Fin*s_Fi</f>
        <v>6875</v>
      </c>
      <c r="D26" s="127">
        <f t="shared" ref="D26" si="46">s_C*s_EFres*(1/365)*s_ETres*(1/24)*s_GSFa*s_Fin*s_Fi</f>
        <v>0.3139269406392694</v>
      </c>
      <c r="E26" s="2">
        <f>C26*Doses!H24</f>
        <v>34375</v>
      </c>
      <c r="F26" s="3">
        <f>D26*Doses!J24</f>
        <v>1.5696347031963471</v>
      </c>
      <c r="G26" s="103">
        <f>SUM((C26*Doses!H24),(D26*Doses!J24))</f>
        <v>34376.569634703199</v>
      </c>
      <c r="H26" s="3">
        <f t="shared" ref="H26:H27" si="47">IFERROR(E26/s_1_bq,".")</f>
        <v>1271.8750000000014</v>
      </c>
      <c r="I26" s="3">
        <f t="shared" ref="I26:I27" si="48">IFERROR(F26/s_1_bq,".")</f>
        <v>5.8076484018264901E-2</v>
      </c>
      <c r="J26" s="4">
        <f t="shared" ref="J26:J27" si="49">IFERROR(G26/s_1_bq,".")</f>
        <v>1271.9330764840197</v>
      </c>
    </row>
    <row r="27" spans="1:10">
      <c r="A27" s="83" t="s">
        <v>31</v>
      </c>
      <c r="B27" s="85" t="s">
        <v>44</v>
      </c>
      <c r="C27" s="127">
        <f t="shared" ref="C27" si="50">s_C*s_IRAiw*s_EFiw*s_ETiw*(1/24)*s_Fin*s_Fi</f>
        <v>6875</v>
      </c>
      <c r="D27" s="127">
        <f t="shared" ref="D27" si="51">s_C*s_EFres*(1/365)*s_ETres*(1/24)*s_GSFa*s_Fin*s_Fi</f>
        <v>0.3139269406392694</v>
      </c>
      <c r="E27" s="2">
        <f>C27*Doses!H25</f>
        <v>34375</v>
      </c>
      <c r="F27" s="3">
        <f>D27*Doses!J25</f>
        <v>1.5696347031963471</v>
      </c>
      <c r="G27" s="103">
        <f>SUM((C27*Doses!H25),(D27*Doses!J25))</f>
        <v>34376.569634703199</v>
      </c>
      <c r="H27" s="3">
        <f t="shared" si="47"/>
        <v>1271.8750000000014</v>
      </c>
      <c r="I27" s="3">
        <f t="shared" si="48"/>
        <v>5.8076484018264901E-2</v>
      </c>
      <c r="J27" s="4">
        <f t="shared" si="49"/>
        <v>1271.9330764840197</v>
      </c>
    </row>
    <row r="28" spans="1:10">
      <c r="A28" s="82" t="s">
        <v>35</v>
      </c>
      <c r="B28" s="12" t="s">
        <v>50</v>
      </c>
      <c r="C28" s="127">
        <f t="shared" ref="C28:C31" si="52">s_C*s_IRAiw*s_EFiw*s_ETiw*(1/24)*s_Fin*s_Fi</f>
        <v>6875</v>
      </c>
      <c r="D28" s="127">
        <f t="shared" ref="D28:D31" si="53">s_C*s_EFres*(1/365)*s_ETres*(1/24)*s_GSFa*s_Fin*s_Fi</f>
        <v>0.3139269406392694</v>
      </c>
      <c r="E28" s="2">
        <f>C28*Doses!H26</f>
        <v>34375</v>
      </c>
      <c r="F28" s="3">
        <f>D28*Doses!J26</f>
        <v>1.5696347031963471</v>
      </c>
      <c r="G28" s="103">
        <f>SUM((C28*Doses!H26),(D28*Doses!J26))</f>
        <v>34376.569634703199</v>
      </c>
      <c r="H28" s="3">
        <f t="shared" ref="H28:H31" si="54">IFERROR(E28/s_1_bq,".")</f>
        <v>1271.8750000000014</v>
      </c>
      <c r="I28" s="3">
        <f t="shared" ref="I28:I31" si="55">IFERROR(F28/s_1_bq,".")</f>
        <v>5.8076484018264901E-2</v>
      </c>
      <c r="J28" s="4">
        <f t="shared" ref="J28:J31" si="56">IFERROR(G28/s_1_bq,".")</f>
        <v>1271.9330764840197</v>
      </c>
    </row>
    <row r="29" spans="1:10">
      <c r="A29" s="82" t="s">
        <v>40</v>
      </c>
      <c r="B29" s="85" t="s">
        <v>50</v>
      </c>
      <c r="C29" s="127">
        <f t="shared" si="52"/>
        <v>6875</v>
      </c>
      <c r="D29" s="127">
        <f t="shared" si="53"/>
        <v>0.3139269406392694</v>
      </c>
      <c r="E29" s="2">
        <f>C29*Doses!H27</f>
        <v>34375</v>
      </c>
      <c r="F29" s="3">
        <f>D29*Doses!J27</f>
        <v>1.5696347031963471</v>
      </c>
      <c r="G29" s="103">
        <f>SUM((C29*Doses!H27),(D29*Doses!J27))</f>
        <v>34376.569634703199</v>
      </c>
      <c r="H29" s="3">
        <f t="shared" si="54"/>
        <v>1271.8750000000014</v>
      </c>
      <c r="I29" s="3">
        <f t="shared" si="55"/>
        <v>5.8076484018264901E-2</v>
      </c>
      <c r="J29" s="4">
        <f t="shared" si="56"/>
        <v>1271.9330764840197</v>
      </c>
    </row>
    <row r="30" spans="1:10">
      <c r="A30" s="82" t="s">
        <v>41</v>
      </c>
      <c r="B30" s="12" t="s">
        <v>50</v>
      </c>
      <c r="C30" s="127">
        <f t="shared" si="52"/>
        <v>6875</v>
      </c>
      <c r="D30" s="127">
        <f t="shared" si="53"/>
        <v>0.3139269406392694</v>
      </c>
      <c r="E30" s="2">
        <f>C30*Doses!H28</f>
        <v>34375</v>
      </c>
      <c r="F30" s="3">
        <f>D30*Doses!J28</f>
        <v>1.5696347031963471</v>
      </c>
      <c r="G30" s="103">
        <f>SUM((C30*Doses!H28),(D30*Doses!J28))</f>
        <v>34376.569634703199</v>
      </c>
      <c r="H30" s="3">
        <f t="shared" si="54"/>
        <v>1271.8750000000014</v>
      </c>
      <c r="I30" s="3">
        <f t="shared" si="55"/>
        <v>5.8076484018264901E-2</v>
      </c>
      <c r="J30" s="4">
        <f t="shared" si="56"/>
        <v>1271.9330764840197</v>
      </c>
    </row>
    <row r="31" spans="1:10">
      <c r="A31" s="82" t="s">
        <v>42</v>
      </c>
      <c r="B31" s="85" t="s">
        <v>50</v>
      </c>
      <c r="C31" s="127">
        <f t="shared" si="52"/>
        <v>6875</v>
      </c>
      <c r="D31" s="127">
        <f t="shared" si="53"/>
        <v>0.3139269406392694</v>
      </c>
      <c r="E31" s="2">
        <f>C31*Doses!H29</f>
        <v>34375</v>
      </c>
      <c r="F31" s="3">
        <f>D31*Doses!J29</f>
        <v>1.5696347031963471</v>
      </c>
      <c r="G31" s="103">
        <f>SUM((C31*Doses!H29),(D31*Doses!J29))</f>
        <v>34376.569634703199</v>
      </c>
      <c r="H31" s="3">
        <f t="shared" si="54"/>
        <v>1271.8750000000014</v>
      </c>
      <c r="I31" s="3">
        <f t="shared" si="55"/>
        <v>5.8076484018264901E-2</v>
      </c>
      <c r="J31" s="4">
        <f t="shared" si="56"/>
        <v>1271.9330764840197</v>
      </c>
    </row>
    <row r="32" spans="1:10" ht="13.5" thickBot="1">
      <c r="A32" s="82" t="s">
        <v>25</v>
      </c>
      <c r="B32" s="12" t="s">
        <v>50</v>
      </c>
      <c r="C32" s="127">
        <f t="shared" ref="C32" si="57">s_C*s_IRAiw*s_EFiw*s_ETiw*(1/24)*s_Fin*s_Fi</f>
        <v>6875</v>
      </c>
      <c r="D32" s="127">
        <f t="shared" ref="D32" si="58">s_C*s_EFres*(1/365)*s_ETres*(1/24)*s_GSFa*s_Fin*s_Fi</f>
        <v>0.3139269406392694</v>
      </c>
      <c r="E32" s="2">
        <f>C32*Doses!H30</f>
        <v>34375</v>
      </c>
      <c r="F32" s="3">
        <f>D32*Doses!J30</f>
        <v>1.5696347031963471</v>
      </c>
      <c r="G32" s="103">
        <f>SUM((C32*Doses!H30),(D32*Doses!J30))</f>
        <v>34376.569634703199</v>
      </c>
      <c r="H32" s="3">
        <f t="shared" ref="H32" si="59">IFERROR(E32/s_1_bq,".")</f>
        <v>1271.8750000000014</v>
      </c>
      <c r="I32" s="3">
        <f t="shared" ref="I32" si="60">IFERROR(F32/s_1_bq,".")</f>
        <v>5.8076484018264901E-2</v>
      </c>
      <c r="J32" s="4">
        <f t="shared" ref="J32" si="61">IFERROR(G32/s_1_bq,".")</f>
        <v>1271.9330764840197</v>
      </c>
    </row>
    <row r="33" spans="1:10" ht="15">
      <c r="A33" s="104" t="s">
        <v>14</v>
      </c>
      <c r="B33" s="104" t="s">
        <v>50</v>
      </c>
      <c r="C33" s="123"/>
      <c r="D33" s="124"/>
      <c r="E33" s="105">
        <f>SUM(E34:E46)</f>
        <v>412487.625</v>
      </c>
      <c r="F33" s="106">
        <f t="shared" ref="F33:G33" si="62">SUM(F34:F46)</f>
        <v>18.835051369863013</v>
      </c>
      <c r="G33" s="107">
        <f t="shared" si="62"/>
        <v>412506.46005136985</v>
      </c>
      <c r="H33" s="105">
        <f t="shared" ref="H33:H78" si="63">E33/s_1_bq</f>
        <v>15262.042125000016</v>
      </c>
      <c r="I33" s="106">
        <f t="shared" ref="I33:I78" si="64">F33/s_1_bq</f>
        <v>0.69689690068493215</v>
      </c>
      <c r="J33" s="107">
        <f t="shared" ref="J33:J78" si="65">G33/s_1_bq</f>
        <v>15262.739021900699</v>
      </c>
    </row>
    <row r="34" spans="1:10" ht="15">
      <c r="A34" s="108" t="s">
        <v>137</v>
      </c>
      <c r="B34" s="109">
        <v>1</v>
      </c>
      <c r="C34" s="123"/>
      <c r="D34" s="124"/>
      <c r="E34" s="110">
        <f>IFERROR(VLOOKUP("Am-241",$A$4:$J$32,3)*VLOOKUP("Am-241",Doses!$A$1:$O$30,8)*$B34,0)</f>
        <v>34375</v>
      </c>
      <c r="F34" s="122">
        <f>IFERROR(VLOOKUP("Am-241",$A$4:$J$32,4)*VLOOKUP("Am-241",Doses!$A$1:$O$30,10)*$B34,0)</f>
        <v>1.5696347031963471</v>
      </c>
      <c r="G34" s="112">
        <f>SUM(E34:F34)</f>
        <v>34376.569634703199</v>
      </c>
      <c r="H34" s="110">
        <f t="shared" si="63"/>
        <v>1271.8750000000014</v>
      </c>
      <c r="I34" s="111">
        <f t="shared" si="64"/>
        <v>5.8076484018264901E-2</v>
      </c>
      <c r="J34" s="112">
        <f t="shared" si="65"/>
        <v>1271.9330764840197</v>
      </c>
    </row>
    <row r="35" spans="1:10" ht="15">
      <c r="A35" s="108" t="s">
        <v>138</v>
      </c>
      <c r="B35" s="109">
        <v>1</v>
      </c>
      <c r="C35" s="123"/>
      <c r="D35" s="124"/>
      <c r="E35" s="110">
        <f>IFERROR(VLOOKUP("Np-237",$A$4:$J$32,3)*VLOOKUP("Np-237",Doses!$A$1:$O$31,8)*$B35,0)</f>
        <v>34375</v>
      </c>
      <c r="F35" s="122">
        <f>IFERROR(VLOOKUP("Np-237",$A$4:$J$32,4)*VLOOKUP("Np-237",Doses!$A$1:$O$31,10)*$B35,0)</f>
        <v>1.5696347031963471</v>
      </c>
      <c r="G35" s="112">
        <f t="shared" ref="G35:G46" si="66">SUM(E35:F35)</f>
        <v>34376.569634703199</v>
      </c>
      <c r="H35" s="110">
        <f t="shared" si="63"/>
        <v>1271.8750000000014</v>
      </c>
      <c r="I35" s="111">
        <f t="shared" si="64"/>
        <v>5.8076484018264901E-2</v>
      </c>
      <c r="J35" s="112">
        <f t="shared" si="65"/>
        <v>1271.9330764840197</v>
      </c>
    </row>
    <row r="36" spans="1:10" ht="15">
      <c r="A36" s="108" t="s">
        <v>139</v>
      </c>
      <c r="B36" s="109">
        <v>1</v>
      </c>
      <c r="C36" s="123"/>
      <c r="D36" s="124"/>
      <c r="E36" s="110">
        <f>IFERROR(VLOOKUP("Pa-233",$A$4:$J$32,3)*VLOOKUP("Pa-233",Doses!$A$1:$O$32,8)*$B36,0)</f>
        <v>34375</v>
      </c>
      <c r="F36" s="122">
        <f>IFERROR(VLOOKUP("Pa-233",$A$4:$J$32,4)*VLOOKUP("Pa-233",Doses!$A$1:$O$32,10)*$B36,0)</f>
        <v>1.5696347031963471</v>
      </c>
      <c r="G36" s="112">
        <f t="shared" si="66"/>
        <v>34376.569634703199</v>
      </c>
      <c r="H36" s="110">
        <f t="shared" si="63"/>
        <v>1271.8750000000014</v>
      </c>
      <c r="I36" s="111">
        <f t="shared" si="64"/>
        <v>5.8076484018264901E-2</v>
      </c>
      <c r="J36" s="112">
        <f t="shared" si="65"/>
        <v>1271.9330764840197</v>
      </c>
    </row>
    <row r="37" spans="1:10" ht="15">
      <c r="A37" s="108" t="s">
        <v>140</v>
      </c>
      <c r="B37" s="109">
        <v>1</v>
      </c>
      <c r="C37" s="123"/>
      <c r="D37" s="124"/>
      <c r="E37" s="110">
        <f>IFERROR(VLOOKUP("U-233",$A$4:$J$32,3)*VLOOKUP("U-233",Doses!$A$1:$O$33,8)*$B37,0)</f>
        <v>34375</v>
      </c>
      <c r="F37" s="122">
        <f>IFERROR(VLOOKUP("U-233",$A$4:$J$32,4)*VLOOKUP("U-233",Doses!$A$1:$O$33,10)*$B37,0)</f>
        <v>1.5696347031963471</v>
      </c>
      <c r="G37" s="112">
        <f t="shared" si="66"/>
        <v>34376.569634703199</v>
      </c>
      <c r="H37" s="110">
        <f t="shared" si="63"/>
        <v>1271.8750000000014</v>
      </c>
      <c r="I37" s="111">
        <f t="shared" si="64"/>
        <v>5.8076484018264901E-2</v>
      </c>
      <c r="J37" s="112">
        <f t="shared" si="65"/>
        <v>1271.9330764840197</v>
      </c>
    </row>
    <row r="38" spans="1:10" ht="15">
      <c r="A38" s="108" t="s">
        <v>141</v>
      </c>
      <c r="B38" s="109">
        <v>1</v>
      </c>
      <c r="C38" s="123"/>
      <c r="D38" s="124"/>
      <c r="E38" s="110">
        <f>IFERROR(VLOOKUP("Th-229",$A$4:$J$32,3)*VLOOKUP("Th-229",Doses!$A$1:$O$34,8)*$B38,0)</f>
        <v>34375</v>
      </c>
      <c r="F38" s="122">
        <f>IFERROR(VLOOKUP("Th-229",$A$4:$J$32,4)*VLOOKUP("Th-229",Doses!$A$1:$O$34,10)*$B38,0)</f>
        <v>1.5696347031963471</v>
      </c>
      <c r="G38" s="112">
        <f t="shared" si="66"/>
        <v>34376.569634703199</v>
      </c>
      <c r="H38" s="110">
        <f t="shared" si="63"/>
        <v>1271.8750000000014</v>
      </c>
      <c r="I38" s="111">
        <f t="shared" si="64"/>
        <v>5.8076484018264901E-2</v>
      </c>
      <c r="J38" s="112">
        <f t="shared" si="65"/>
        <v>1271.9330764840197</v>
      </c>
    </row>
    <row r="39" spans="1:10" ht="15">
      <c r="A39" s="108" t="s">
        <v>142</v>
      </c>
      <c r="B39" s="109">
        <v>1</v>
      </c>
      <c r="C39" s="123"/>
      <c r="D39" s="124"/>
      <c r="E39" s="110">
        <f>IFERROR(VLOOKUP("Ra-225",$A$4:$J$32,3)*VLOOKUP("Ra-225",Doses!$A$1:$O$35,8)*$B39,0)</f>
        <v>34375</v>
      </c>
      <c r="F39" s="122">
        <f>IFERROR(VLOOKUP("Ra-225",$A$4:$J$32,4)*VLOOKUP("Ra-225",Doses!$A$1:$O$35,10)*$B39,0)</f>
        <v>1.5696347031963471</v>
      </c>
      <c r="G39" s="112">
        <f t="shared" si="66"/>
        <v>34376.569634703199</v>
      </c>
      <c r="H39" s="110">
        <f t="shared" si="63"/>
        <v>1271.8750000000014</v>
      </c>
      <c r="I39" s="111">
        <f t="shared" si="64"/>
        <v>5.8076484018264901E-2</v>
      </c>
      <c r="J39" s="112">
        <f t="shared" si="65"/>
        <v>1271.9330764840197</v>
      </c>
    </row>
    <row r="40" spans="1:10" ht="15">
      <c r="A40" s="108" t="s">
        <v>143</v>
      </c>
      <c r="B40" s="109">
        <v>1</v>
      </c>
      <c r="C40" s="123"/>
      <c r="D40" s="124"/>
      <c r="E40" s="110">
        <f>IFERROR(VLOOKUP("Ac-225",$A$4:$J$32,3)*VLOOKUP("Ac-225",Doses!$A$1:$O$36,8)*$B40,0)</f>
        <v>34375</v>
      </c>
      <c r="F40" s="122">
        <f>IFERROR(VLOOKUP("Ac-225",$A$4:$J$32,4)*VLOOKUP("Ac-225",Doses!$A$1:$O$36,10)*$B40,0)</f>
        <v>1.5696347031963471</v>
      </c>
      <c r="G40" s="112">
        <f t="shared" si="66"/>
        <v>34376.569634703199</v>
      </c>
      <c r="H40" s="110">
        <f t="shared" si="63"/>
        <v>1271.8750000000014</v>
      </c>
      <c r="I40" s="111">
        <f t="shared" si="64"/>
        <v>5.8076484018264901E-2</v>
      </c>
      <c r="J40" s="112">
        <f t="shared" si="65"/>
        <v>1271.9330764840197</v>
      </c>
    </row>
    <row r="41" spans="1:10" ht="15">
      <c r="A41" s="108" t="s">
        <v>144</v>
      </c>
      <c r="B41" s="109">
        <v>1</v>
      </c>
      <c r="C41" s="123"/>
      <c r="D41" s="124"/>
      <c r="E41" s="110">
        <f>IFERROR(VLOOKUP("Fr-221",$A$4:$J$32,3)*VLOOKUP("Fr-221",Doses!$A$1:$O$37,8)*$B41,0)</f>
        <v>34375</v>
      </c>
      <c r="F41" s="122">
        <f>IFERROR(VLOOKUP("Fr-221",$A$4:$J$32,4)*VLOOKUP("Fr-221",Doses!$A$1:$O$37,10)*$B41,0)</f>
        <v>1.5696347031963471</v>
      </c>
      <c r="G41" s="112">
        <f t="shared" si="66"/>
        <v>34376.569634703199</v>
      </c>
      <c r="H41" s="110">
        <f t="shared" si="63"/>
        <v>1271.8750000000014</v>
      </c>
      <c r="I41" s="111">
        <f t="shared" si="64"/>
        <v>5.8076484018264901E-2</v>
      </c>
      <c r="J41" s="112">
        <f t="shared" si="65"/>
        <v>1271.9330764840197</v>
      </c>
    </row>
    <row r="42" spans="1:10" ht="15">
      <c r="A42" s="108" t="s">
        <v>145</v>
      </c>
      <c r="B42" s="109">
        <v>1</v>
      </c>
      <c r="C42" s="123"/>
      <c r="D42" s="124"/>
      <c r="E42" s="110">
        <f>IFERROR(VLOOKUP("At-217",$A$4:$J$32,3)*VLOOKUP("At-217",Doses!$A$1:$O$38,8)*$B42,0)</f>
        <v>34375</v>
      </c>
      <c r="F42" s="122">
        <f>IFERROR(VLOOKUP("At-217",$A$4:$J$32,4)*VLOOKUP("At-217",Doses!$A$1:$O$38,10)*$B42,0)</f>
        <v>1.5696347031963471</v>
      </c>
      <c r="G42" s="112">
        <f t="shared" si="66"/>
        <v>34376.569634703199</v>
      </c>
      <c r="H42" s="110">
        <f t="shared" si="63"/>
        <v>1271.8750000000014</v>
      </c>
      <c r="I42" s="111">
        <f t="shared" si="64"/>
        <v>5.8076484018264901E-2</v>
      </c>
      <c r="J42" s="112">
        <f t="shared" si="65"/>
        <v>1271.9330764840197</v>
      </c>
    </row>
    <row r="43" spans="1:10" ht="15">
      <c r="A43" s="108" t="s">
        <v>146</v>
      </c>
      <c r="B43" s="113">
        <v>0.99987999999999999</v>
      </c>
      <c r="C43" s="123"/>
      <c r="D43" s="124"/>
      <c r="E43" s="110">
        <f>IFERROR(VLOOKUP("Bi-213",$A$4:$J$32,3)*VLOOKUP("Bi-213",Doses!$A$1:$O$39,8)*$B43,0)</f>
        <v>34370.875</v>
      </c>
      <c r="F43" s="122">
        <f>IFERROR(VLOOKUP("Bi-213",$A$4:$J$32,4)*VLOOKUP("Bi-213",Doses!$A$1:$O$39,10)*$B43,0)</f>
        <v>1.5694463470319635</v>
      </c>
      <c r="G43" s="112">
        <f t="shared" si="66"/>
        <v>34372.444446347035</v>
      </c>
      <c r="H43" s="110">
        <f t="shared" si="63"/>
        <v>1271.7223750000012</v>
      </c>
      <c r="I43" s="111">
        <f t="shared" si="64"/>
        <v>5.8069514840182711E-2</v>
      </c>
      <c r="J43" s="112">
        <f t="shared" si="65"/>
        <v>1271.7804445148415</v>
      </c>
    </row>
    <row r="44" spans="1:10" ht="15">
      <c r="A44" s="108" t="s">
        <v>147</v>
      </c>
      <c r="B44" s="109">
        <v>0.97898250799999997</v>
      </c>
      <c r="C44" s="123"/>
      <c r="D44" s="124"/>
      <c r="E44" s="110">
        <f>IFERROR(VLOOKUP("Po-213",$A$4:$J$32,3)*VLOOKUP("Po-213",Doses!$A$1:$O$40,8)*$B44,0)</f>
        <v>33652.523712499999</v>
      </c>
      <c r="F44" s="122">
        <f>IFERROR(VLOOKUP("Po-213",$A$4:$J$32,4)*VLOOKUP("Po-213",Doses!$A$1:$O$40,10)*$B44,0)</f>
        <v>1.5366449183789954</v>
      </c>
      <c r="G44" s="112">
        <f t="shared" si="66"/>
        <v>33654.060357418377</v>
      </c>
      <c r="H44" s="110">
        <f t="shared" si="63"/>
        <v>1245.1433773625013</v>
      </c>
      <c r="I44" s="111">
        <f t="shared" si="64"/>
        <v>5.685586198002289E-2</v>
      </c>
      <c r="J44" s="112">
        <f t="shared" si="65"/>
        <v>1245.2002332244813</v>
      </c>
    </row>
    <row r="45" spans="1:10" ht="15">
      <c r="A45" s="108" t="s">
        <v>148</v>
      </c>
      <c r="B45" s="109">
        <v>2.0897492E-2</v>
      </c>
      <c r="C45" s="123"/>
      <c r="D45" s="124"/>
      <c r="E45" s="110">
        <f>IFERROR(VLOOKUP("Tl-209",$A$4:$J$32,3)*VLOOKUP("Tl-209",Doses!$A$1:$O$41,8)*$B45,0)</f>
        <v>718.35128750000001</v>
      </c>
      <c r="F45" s="122">
        <f>IFERROR(VLOOKUP("Tl-209",$A$4:$J$32,4)*VLOOKUP("Tl-209",Doses!$A$1:$O$41,10)*$B45,0)</f>
        <v>3.2801428652968041E-2</v>
      </c>
      <c r="G45" s="112">
        <f t="shared" si="66"/>
        <v>718.384088928653</v>
      </c>
      <c r="H45" s="110">
        <f t="shared" si="63"/>
        <v>26.578997637500027</v>
      </c>
      <c r="I45" s="111">
        <f t="shared" si="64"/>
        <v>1.2136528601598188E-3</v>
      </c>
      <c r="J45" s="112">
        <f t="shared" si="65"/>
        <v>26.580211290360189</v>
      </c>
    </row>
    <row r="46" spans="1:10" ht="15">
      <c r="A46" s="108" t="s">
        <v>149</v>
      </c>
      <c r="B46" s="109">
        <v>0.99987999999999999</v>
      </c>
      <c r="C46" s="123"/>
      <c r="D46" s="124"/>
      <c r="E46" s="110">
        <f>IFERROR(VLOOKUP("Pb-209",$A$4:$J$32,3)*VLOOKUP("Pb-209",Doses!$A$1:$O$42,8)*$B46,0)</f>
        <v>34370.875</v>
      </c>
      <c r="F46" s="122">
        <f>IFERROR(VLOOKUP("Pb-209",$A$4:$J$32,4)*VLOOKUP("Pb-209",Doses!$A$1:$O$42,10)*$B46,0)</f>
        <v>1.5694463470319635</v>
      </c>
      <c r="G46" s="112">
        <f t="shared" si="66"/>
        <v>34372.444446347035</v>
      </c>
      <c r="H46" s="110">
        <f t="shared" si="63"/>
        <v>1271.7223750000012</v>
      </c>
      <c r="I46" s="111">
        <f t="shared" si="64"/>
        <v>5.8069514840182711E-2</v>
      </c>
      <c r="J46" s="112">
        <f t="shared" si="65"/>
        <v>1271.7804445148415</v>
      </c>
    </row>
    <row r="47" spans="1:10" ht="15">
      <c r="A47" s="104" t="s">
        <v>17</v>
      </c>
      <c r="B47" s="104" t="s">
        <v>50</v>
      </c>
      <c r="C47" s="123"/>
      <c r="D47" s="125"/>
      <c r="E47" s="114">
        <f>SUM(E48:E49)</f>
        <v>66824.65625</v>
      </c>
      <c r="F47" s="121">
        <f>SUM(F48:F49)</f>
        <v>3.051354166666667</v>
      </c>
      <c r="G47" s="116">
        <f>SUM(G48:G49)</f>
        <v>66827.707604166673</v>
      </c>
      <c r="H47" s="114">
        <f t="shared" si="63"/>
        <v>2472.5122812500026</v>
      </c>
      <c r="I47" s="115">
        <f t="shared" si="64"/>
        <v>0.11290010416666679</v>
      </c>
      <c r="J47" s="116">
        <f t="shared" si="65"/>
        <v>2472.6251813541694</v>
      </c>
    </row>
    <row r="48" spans="1:10" ht="15">
      <c r="A48" s="108" t="s">
        <v>150</v>
      </c>
      <c r="B48" s="109">
        <v>1</v>
      </c>
      <c r="C48" s="123"/>
      <c r="D48" s="124"/>
      <c r="E48" s="110">
        <f>IFERROR(VLOOKUP("Cs-137",$A$4:$J$32,3)*VLOOKUP("Cs-137",Doses!$A$1:$O$40,8)*$B48,0)</f>
        <v>34375</v>
      </c>
      <c r="F48" s="122">
        <f>IFERROR(VLOOKUP("Cs-137",$A$4:$J$32,4)*VLOOKUP("Cs-137",Doses!$A$1:$O$40,10)*$B48,0)</f>
        <v>1.5696347031963471</v>
      </c>
      <c r="G48" s="112">
        <f t="shared" ref="G48:G49" si="67">SUM(E48:F48)</f>
        <v>34376.569634703199</v>
      </c>
      <c r="H48" s="110">
        <f t="shared" si="63"/>
        <v>1271.8750000000014</v>
      </c>
      <c r="I48" s="111">
        <f t="shared" si="64"/>
        <v>5.8076484018264901E-2</v>
      </c>
      <c r="J48" s="112">
        <f t="shared" si="65"/>
        <v>1271.9330764840197</v>
      </c>
    </row>
    <row r="49" spans="1:10" ht="15">
      <c r="A49" s="108" t="s">
        <v>151</v>
      </c>
      <c r="B49" s="109">
        <v>0.94399</v>
      </c>
      <c r="C49" s="123"/>
      <c r="D49" s="124"/>
      <c r="E49" s="110">
        <f>IFERROR(VLOOKUP("Ba-137m",$A$4:$J$32,3)*VLOOKUP("Ba-137m",Doses!$A$1:$O$40,8)*$B49,0)</f>
        <v>32449.65625</v>
      </c>
      <c r="F49" s="122">
        <f>IFERROR(VLOOKUP("Ba-137m",$A$4:$J$32,4)*VLOOKUP("Ba-137m",Doses!$A$1:$O$40,10)*$B49,0)</f>
        <v>1.4817194634703197</v>
      </c>
      <c r="G49" s="112">
        <f t="shared" si="67"/>
        <v>32451.137969463471</v>
      </c>
      <c r="H49" s="110">
        <f t="shared" si="63"/>
        <v>1200.6372812500013</v>
      </c>
      <c r="I49" s="111">
        <f t="shared" si="64"/>
        <v>5.4823620148401885E-2</v>
      </c>
      <c r="J49" s="112">
        <f t="shared" si="65"/>
        <v>1200.6921048701497</v>
      </c>
    </row>
    <row r="50" spans="1:10" ht="15">
      <c r="A50" s="104" t="s">
        <v>27</v>
      </c>
      <c r="B50" s="104" t="s">
        <v>50</v>
      </c>
      <c r="C50" s="123"/>
      <c r="D50" s="125"/>
      <c r="E50" s="114">
        <f>SUM(E51:E64)</f>
        <v>309375.04668124998</v>
      </c>
      <c r="F50" s="121">
        <f>SUM(F51:F64)</f>
        <v>14.126714460331051</v>
      </c>
      <c r="G50" s="116">
        <f>SUM(G51:G64)</f>
        <v>309389.17339571036</v>
      </c>
      <c r="H50" s="114">
        <f t="shared" si="63"/>
        <v>11446.876727206261</v>
      </c>
      <c r="I50" s="115">
        <f t="shared" si="64"/>
        <v>0.52268843503224938</v>
      </c>
      <c r="J50" s="116">
        <f t="shared" si="65"/>
        <v>11447.399415641295</v>
      </c>
    </row>
    <row r="51" spans="1:10" ht="15">
      <c r="A51" s="108" t="s">
        <v>152</v>
      </c>
      <c r="B51" s="109">
        <v>1</v>
      </c>
      <c r="C51" s="123"/>
      <c r="D51" s="124"/>
      <c r="E51" s="110">
        <f>IFERROR(VLOOKUP("Ra-226",$A$4:$J$32,3)*VLOOKUP("Ra-226",Doses!$A$1:$O$40,8)*$B51,0)</f>
        <v>34375</v>
      </c>
      <c r="F51" s="122">
        <f>IFERROR(VLOOKUP("Ra-226",$A$4:$J$32,4)*VLOOKUP("Ra-226",Doses!$A$1:$O$40,10)*$B51,0)</f>
        <v>1.5696347031963471</v>
      </c>
      <c r="G51" s="112">
        <f t="shared" ref="G51:G64" si="68">SUM(E51:F51)</f>
        <v>34376.569634703199</v>
      </c>
      <c r="H51" s="110">
        <f t="shared" si="63"/>
        <v>1271.8750000000014</v>
      </c>
      <c r="I51" s="111">
        <f t="shared" si="64"/>
        <v>5.8076484018264901E-2</v>
      </c>
      <c r="J51" s="112">
        <f t="shared" si="65"/>
        <v>1271.9330764840197</v>
      </c>
    </row>
    <row r="52" spans="1:10" ht="15">
      <c r="A52" s="108" t="s">
        <v>153</v>
      </c>
      <c r="B52" s="109">
        <v>1</v>
      </c>
      <c r="C52" s="123"/>
      <c r="D52" s="124"/>
      <c r="E52" s="110">
        <f>IFERROR(VLOOKUP("Rn-222",$A$4:$J$32,3)*VLOOKUP("Rn-222",Doses!$A$1:$O$40,8)*$B52,0)</f>
        <v>34375</v>
      </c>
      <c r="F52" s="122">
        <f>IFERROR(VLOOKUP("Rn-222",$A$4:$J$32,4)*VLOOKUP("Rn-222",Doses!$A$1:$O$40,10)*$B52,0)</f>
        <v>1.5696347031963471</v>
      </c>
      <c r="G52" s="112">
        <f t="shared" si="68"/>
        <v>34376.569634703199</v>
      </c>
      <c r="H52" s="110">
        <f t="shared" si="63"/>
        <v>1271.8750000000014</v>
      </c>
      <c r="I52" s="111">
        <f t="shared" si="64"/>
        <v>5.8076484018264901E-2</v>
      </c>
      <c r="J52" s="112">
        <f t="shared" si="65"/>
        <v>1271.9330764840197</v>
      </c>
    </row>
    <row r="53" spans="1:10" ht="15">
      <c r="A53" s="108" t="s">
        <v>154</v>
      </c>
      <c r="B53" s="109">
        <v>1</v>
      </c>
      <c r="C53" s="123"/>
      <c r="D53" s="124"/>
      <c r="E53" s="110">
        <f>IFERROR(VLOOKUP("Po-218",$A$4:$J$32,3)*VLOOKUP("Po-218",Doses!$A$1:$O$40,8)*$B53,0)</f>
        <v>34375</v>
      </c>
      <c r="F53" s="122">
        <f>IFERROR(VLOOKUP("Po-218",$A$4:$J$32,4)*VLOOKUP("Po-218",Doses!$A$1:$O$40,10)*$B53,0)</f>
        <v>1.5696347031963471</v>
      </c>
      <c r="G53" s="112">
        <f t="shared" si="68"/>
        <v>34376.569634703199</v>
      </c>
      <c r="H53" s="110">
        <f t="shared" si="63"/>
        <v>1271.8750000000014</v>
      </c>
      <c r="I53" s="111">
        <f t="shared" si="64"/>
        <v>5.8076484018264901E-2</v>
      </c>
      <c r="J53" s="112">
        <f t="shared" si="65"/>
        <v>1271.9330764840197</v>
      </c>
    </row>
    <row r="54" spans="1:10" ht="15">
      <c r="A54" s="108" t="s">
        <v>156</v>
      </c>
      <c r="B54" s="109">
        <v>2.0000000000000001E-4</v>
      </c>
      <c r="C54" s="123"/>
      <c r="D54" s="124"/>
      <c r="E54" s="110">
        <f>IFERROR(VLOOKUP("At-218",$A$4:$J$32,3)*VLOOKUP("At-218",Doses!$A$1:$O$40,8)*$B54,0)</f>
        <v>6.875</v>
      </c>
      <c r="F54" s="122">
        <f>IFERROR(VLOOKUP("At-218",$A$4:$J$32,4)*VLOOKUP("At-218",Doses!$A$1:$O$40,10)*$B54,0)</f>
        <v>3.1392694063926945E-4</v>
      </c>
      <c r="G54" s="112">
        <f>SUM(E54:F54)</f>
        <v>6.8753139269406391</v>
      </c>
      <c r="H54" s="110">
        <f t="shared" si="63"/>
        <v>0.25437500000000024</v>
      </c>
      <c r="I54" s="111">
        <f t="shared" si="64"/>
        <v>1.1615296803652981E-5</v>
      </c>
      <c r="J54" s="112">
        <f t="shared" si="65"/>
        <v>0.2543866152968039</v>
      </c>
    </row>
    <row r="55" spans="1:10" ht="15">
      <c r="A55" s="108" t="s">
        <v>158</v>
      </c>
      <c r="B55" s="109">
        <v>1.9999999999999999E-7</v>
      </c>
      <c r="C55" s="123"/>
      <c r="D55" s="124"/>
      <c r="E55" s="110">
        <f>IFERROR(VLOOKUP("Rn-218",$A$4:$J$32,3)*VLOOKUP("Rn-218",Doses!$A$1:$O$40,8)*$B55,0)</f>
        <v>6.875E-3</v>
      </c>
      <c r="F55" s="122">
        <f>IFERROR(VLOOKUP("Rn-218",$A$4:$J$32,4)*VLOOKUP("Rn-218",Doses!$A$1:$O$40,10)*$B55,0)</f>
        <v>3.1392694063926939E-7</v>
      </c>
      <c r="G55" s="112">
        <f>SUM(E55:F55)</f>
        <v>6.8753139269406389E-3</v>
      </c>
      <c r="H55" s="110">
        <f t="shared" si="63"/>
        <v>2.5437500000000026E-4</v>
      </c>
      <c r="I55" s="111">
        <f t="shared" si="64"/>
        <v>1.1615296803652979E-8</v>
      </c>
      <c r="J55" s="112">
        <f t="shared" si="65"/>
        <v>2.543866152968039E-4</v>
      </c>
    </row>
    <row r="56" spans="1:10" ht="15">
      <c r="A56" s="108" t="s">
        <v>155</v>
      </c>
      <c r="B56" s="109">
        <v>0.99980000000000002</v>
      </c>
      <c r="C56" s="123"/>
      <c r="D56" s="124"/>
      <c r="E56" s="110">
        <f>IFERROR(VLOOKUP("Pb-214",$A$4:$J$32,3)*VLOOKUP("Pb-214",Doses!$A$1:$O$40,8)*$B56,0)</f>
        <v>34368.125</v>
      </c>
      <c r="F56" s="122">
        <f>IFERROR(VLOOKUP("Pb-214",$A$4:$J$32,4)*VLOOKUP("Pb-214",Doses!$A$1:$O$40,10)*$B56,0)</f>
        <v>1.569320776255708</v>
      </c>
      <c r="G56" s="112">
        <f t="shared" si="68"/>
        <v>34369.694320776252</v>
      </c>
      <c r="H56" s="110">
        <f t="shared" si="63"/>
        <v>1271.6206250000014</v>
      </c>
      <c r="I56" s="111">
        <f t="shared" si="64"/>
        <v>5.8064868721461257E-2</v>
      </c>
      <c r="J56" s="112">
        <f t="shared" si="65"/>
        <v>1271.6786898687226</v>
      </c>
    </row>
    <row r="57" spans="1:10" ht="15">
      <c r="A57" s="108" t="s">
        <v>157</v>
      </c>
      <c r="B57" s="109">
        <v>0.99999979999999999</v>
      </c>
      <c r="C57" s="123"/>
      <c r="D57" s="124"/>
      <c r="E57" s="110">
        <f>IFERROR(VLOOKUP("Bi-214",$A$4:$J$32,3)*VLOOKUP("Bi-214",Doses!$A$1:$O$40,8)*$B57,0)</f>
        <v>34374.993125000001</v>
      </c>
      <c r="F57" s="122">
        <f>IFERROR(VLOOKUP("Bi-214",$A$4:$J$32,4)*VLOOKUP("Bi-214",Doses!$A$1:$O$40,10)*$B57,0)</f>
        <v>1.5696343892694065</v>
      </c>
      <c r="G57" s="112">
        <f t="shared" si="68"/>
        <v>34376.562759389271</v>
      </c>
      <c r="H57" s="110">
        <f t="shared" si="63"/>
        <v>1271.8747456250014</v>
      </c>
      <c r="I57" s="111">
        <f t="shared" si="64"/>
        <v>5.80764724029681E-2</v>
      </c>
      <c r="J57" s="112">
        <f t="shared" si="65"/>
        <v>1271.9328220974044</v>
      </c>
    </row>
    <row r="58" spans="1:10" ht="15">
      <c r="A58" s="108" t="s">
        <v>159</v>
      </c>
      <c r="B58" s="109">
        <v>0.99979000004200003</v>
      </c>
      <c r="C58" s="123"/>
      <c r="D58" s="124"/>
      <c r="E58" s="110">
        <f>IFERROR(VLOOKUP("Po-214",$A$4:$J$32,3)*VLOOKUP("Po-214",Doses!$A$1:$O$40,8)*$B58,0)</f>
        <v>34367.781251443754</v>
      </c>
      <c r="F58" s="122">
        <f>IFERROR(VLOOKUP("Po-214",$A$4:$J$32,4)*VLOOKUP("Po-214",Doses!$A$1:$O$40,10)*$B58,0)</f>
        <v>1.5693050799746007</v>
      </c>
      <c r="G58" s="112">
        <f t="shared" si="68"/>
        <v>34369.350556523728</v>
      </c>
      <c r="H58" s="110">
        <f t="shared" si="63"/>
        <v>1271.6079063034201</v>
      </c>
      <c r="I58" s="111">
        <f t="shared" si="64"/>
        <v>5.8064287959060282E-2</v>
      </c>
      <c r="J58" s="112">
        <f t="shared" si="65"/>
        <v>1271.6659705913792</v>
      </c>
    </row>
    <row r="59" spans="1:10" ht="15">
      <c r="A59" s="108" t="s">
        <v>160</v>
      </c>
      <c r="B59" s="109">
        <v>2.0999995799999999E-4</v>
      </c>
      <c r="C59" s="123"/>
      <c r="D59" s="124"/>
      <c r="E59" s="110">
        <f>IFERROR(VLOOKUP("Tl-210",$A$4:$J$32,3)*VLOOKUP("Tl-210",Doses!$A$1:$O$40,8)*$B59,0)</f>
        <v>7.2187485562499996</v>
      </c>
      <c r="F59" s="122">
        <f>IFERROR(VLOOKUP("Tl-210",$A$4:$J$32,4)*VLOOKUP("Tl-210",Doses!$A$1:$O$40,10)*$B59,0)</f>
        <v>3.2962322174657534E-4</v>
      </c>
      <c r="G59" s="112">
        <f t="shared" si="68"/>
        <v>7.2190781794717465</v>
      </c>
      <c r="H59" s="110">
        <f t="shared" si="63"/>
        <v>0.26709369658125026</v>
      </c>
      <c r="I59" s="111">
        <f t="shared" si="64"/>
        <v>1.21960592046233E-5</v>
      </c>
      <c r="J59" s="112">
        <f t="shared" si="65"/>
        <v>0.26710589264045487</v>
      </c>
    </row>
    <row r="60" spans="1:10" ht="15">
      <c r="A60" s="108" t="s">
        <v>161</v>
      </c>
      <c r="B60" s="109">
        <v>1</v>
      </c>
      <c r="C60" s="123"/>
      <c r="D60" s="124"/>
      <c r="E60" s="110">
        <f>IFERROR(VLOOKUP("Pb-210",$A$4:$J$32,3)*VLOOKUP("Pb-210",Doses!$A$1:$O$40,8)*$B60,0)</f>
        <v>34375</v>
      </c>
      <c r="F60" s="122">
        <f>IFERROR(VLOOKUP("Pb-210",$A$4:$J$32,4)*VLOOKUP("Pb-210",Doses!$A$1:$O$40,10)*$B60,0)</f>
        <v>1.5696347031963471</v>
      </c>
      <c r="G60" s="112">
        <f t="shared" si="68"/>
        <v>34376.569634703199</v>
      </c>
      <c r="H60" s="110">
        <f t="shared" si="63"/>
        <v>1271.8750000000014</v>
      </c>
      <c r="I60" s="111">
        <f t="shared" si="64"/>
        <v>5.8076484018264901E-2</v>
      </c>
      <c r="J60" s="112">
        <f t="shared" si="65"/>
        <v>1271.9330764840197</v>
      </c>
    </row>
    <row r="61" spans="1:10" ht="15">
      <c r="A61" s="108" t="s">
        <v>162</v>
      </c>
      <c r="B61" s="109">
        <v>1</v>
      </c>
      <c r="C61" s="123"/>
      <c r="D61" s="124"/>
      <c r="E61" s="110">
        <f>IFERROR(VLOOKUP("Bi-210",$A$4:$J$32,3)*VLOOKUP("Bi-210",Doses!$A$1:$O$40,8)*$B61,0)</f>
        <v>34375</v>
      </c>
      <c r="F61" s="122">
        <f>IFERROR(VLOOKUP("Bi-210",$A$4:$J$32,4)*VLOOKUP("Bi-210",Doses!$A$1:$O$40,10)*$B61,0)</f>
        <v>1.5696347031963471</v>
      </c>
      <c r="G61" s="112">
        <f t="shared" si="68"/>
        <v>34376.569634703199</v>
      </c>
      <c r="H61" s="110">
        <f t="shared" si="63"/>
        <v>1271.8750000000014</v>
      </c>
      <c r="I61" s="111">
        <f t="shared" si="64"/>
        <v>5.8076484018264901E-2</v>
      </c>
      <c r="J61" s="112">
        <f t="shared" si="65"/>
        <v>1271.9330764840197</v>
      </c>
    </row>
    <row r="62" spans="1:10" ht="15">
      <c r="A62" s="108" t="s">
        <v>164</v>
      </c>
      <c r="B62" s="109">
        <v>1</v>
      </c>
      <c r="C62" s="123"/>
      <c r="D62" s="124"/>
      <c r="E62" s="110">
        <f>IFERROR(VLOOKUP("Po-210",$A$4:$J$32,3)*VLOOKUP("Po-210",Doses!$A$1:$O$40,8)*$B62,0)</f>
        <v>34375</v>
      </c>
      <c r="F62" s="122">
        <f>IFERROR(VLOOKUP("Po-210",$A$4:$J$32,4)*VLOOKUP("Po-210",Doses!$A$1:$O$40,10)*$B62,0)</f>
        <v>1.5696347031963471</v>
      </c>
      <c r="G62" s="112">
        <f>SUM(E62:F62)</f>
        <v>34376.569634703199</v>
      </c>
      <c r="H62" s="110">
        <f t="shared" si="63"/>
        <v>1271.8750000000014</v>
      </c>
      <c r="I62" s="111">
        <f t="shared" si="64"/>
        <v>5.8076484018264901E-2</v>
      </c>
      <c r="J62" s="112">
        <f t="shared" si="65"/>
        <v>1271.9330764840197</v>
      </c>
    </row>
    <row r="63" spans="1:10" ht="15">
      <c r="A63" s="108" t="s">
        <v>163</v>
      </c>
      <c r="B63" s="109">
        <v>1.9000000000000001E-8</v>
      </c>
      <c r="C63" s="123"/>
      <c r="D63" s="124"/>
      <c r="E63" s="110">
        <f>IFERROR(VLOOKUP("Hg-206",$A$4:$J$32,3)*VLOOKUP("Hg-206",Doses!$A$1:$O$40,8)*$B63,0)</f>
        <v>6.5312500000000006E-4</v>
      </c>
      <c r="F63" s="122">
        <f>IFERROR(VLOOKUP("Hg-206",$A$4:$J$32,4)*VLOOKUP("Hg-206",Doses!$A$1:$O$40,10)*$B63,0)</f>
        <v>2.9823059360730597E-8</v>
      </c>
      <c r="G63" s="112">
        <f t="shared" si="68"/>
        <v>6.5315482305936077E-4</v>
      </c>
      <c r="H63" s="110">
        <f t="shared" si="63"/>
        <v>2.4165625000000027E-5</v>
      </c>
      <c r="I63" s="111">
        <f t="shared" si="64"/>
        <v>1.1034531963470332E-9</v>
      </c>
      <c r="J63" s="112">
        <f t="shared" si="65"/>
        <v>2.4166728453196373E-5</v>
      </c>
    </row>
    <row r="64" spans="1:10" ht="15">
      <c r="A64" s="108" t="s">
        <v>165</v>
      </c>
      <c r="B64" s="109">
        <v>1.339E-6</v>
      </c>
      <c r="C64" s="123"/>
      <c r="D64" s="124"/>
      <c r="E64" s="110">
        <f>IFERROR(VLOOKUP("Tl-206",$A$4:$J$32,3)*VLOOKUP("Tl-206",Doses!$A$1:$O$40,8)*$B64,0)</f>
        <v>4.6028125000000003E-2</v>
      </c>
      <c r="F64" s="122">
        <f>IFERROR(VLOOKUP("Tl-206",$A$4:$J$32,4)*VLOOKUP("Tl-206",Doses!$A$1:$O$40,10)*$B64,0)</f>
        <v>2.1017408675799087E-6</v>
      </c>
      <c r="G64" s="112">
        <f t="shared" si="68"/>
        <v>4.6030226740867583E-2</v>
      </c>
      <c r="H64" s="110">
        <f t="shared" si="63"/>
        <v>1.7030406250000019E-3</v>
      </c>
      <c r="I64" s="111">
        <f t="shared" si="64"/>
        <v>7.7764412100456698E-8</v>
      </c>
      <c r="J64" s="112">
        <f t="shared" si="65"/>
        <v>1.7031183894121024E-3</v>
      </c>
    </row>
    <row r="65" spans="1:10" ht="15">
      <c r="A65" s="104" t="s">
        <v>31</v>
      </c>
      <c r="B65" s="104" t="s">
        <v>50</v>
      </c>
      <c r="C65" s="123"/>
      <c r="D65" s="125"/>
      <c r="E65" s="114">
        <f>SUM(E66:E78)</f>
        <v>275000.04668124998</v>
      </c>
      <c r="F65" s="121">
        <f t="shared" ref="F65:G65" si="69">SUM(F66:F78)</f>
        <v>12.557079757134705</v>
      </c>
      <c r="G65" s="116">
        <f t="shared" si="69"/>
        <v>275012.60376100708</v>
      </c>
      <c r="H65" s="114">
        <f t="shared" si="63"/>
        <v>10175.00172720626</v>
      </c>
      <c r="I65" s="115">
        <f t="shared" si="64"/>
        <v>0.46461195101398456</v>
      </c>
      <c r="J65" s="116">
        <f t="shared" si="65"/>
        <v>10175.466339157272</v>
      </c>
    </row>
    <row r="66" spans="1:10" ht="15">
      <c r="A66" s="108" t="s">
        <v>153</v>
      </c>
      <c r="B66" s="109">
        <v>1</v>
      </c>
      <c r="C66" s="123"/>
      <c r="D66" s="124"/>
      <c r="E66" s="110">
        <f>IFERROR(VLOOKUP("Rn-222",$A$4:$J$32,3)*VLOOKUP("Rn-222",Doses!$A$1:$O$40,8)*$B66,0)</f>
        <v>34375</v>
      </c>
      <c r="F66" s="122">
        <f>IFERROR(VLOOKUP("Rn-222",$A$4:$J$32,4)*VLOOKUP("Rn-222",Doses!$A$1:$O$40,10)*$B66,0)</f>
        <v>1.5696347031963471</v>
      </c>
      <c r="G66" s="112">
        <f t="shared" ref="G66:G67" si="70">SUM(E66:F66)</f>
        <v>34376.569634703199</v>
      </c>
      <c r="H66" s="110">
        <f t="shared" si="63"/>
        <v>1271.8750000000014</v>
      </c>
      <c r="I66" s="111">
        <f t="shared" si="64"/>
        <v>5.8076484018264901E-2</v>
      </c>
      <c r="J66" s="112">
        <f t="shared" si="65"/>
        <v>1271.9330764840197</v>
      </c>
    </row>
    <row r="67" spans="1:10" ht="15">
      <c r="A67" s="108" t="s">
        <v>154</v>
      </c>
      <c r="B67" s="109">
        <v>1</v>
      </c>
      <c r="C67" s="123"/>
      <c r="D67" s="124"/>
      <c r="E67" s="110">
        <f>IFERROR(VLOOKUP("Po-218",$A$4:$J$32,3)*VLOOKUP("Po-218",Doses!$A$1:$O$40,8)*$B67,0)</f>
        <v>34375</v>
      </c>
      <c r="F67" s="122">
        <f>IFERROR(VLOOKUP("Po-218",$A$4:$J$32,4)*VLOOKUP("Po-218",Doses!$A$1:$O$40,10)*$B67,0)</f>
        <v>1.5696347031963471</v>
      </c>
      <c r="G67" s="112">
        <f t="shared" si="70"/>
        <v>34376.569634703199</v>
      </c>
      <c r="H67" s="110">
        <f t="shared" si="63"/>
        <v>1271.8750000000014</v>
      </c>
      <c r="I67" s="111">
        <f t="shared" si="64"/>
        <v>5.8076484018264901E-2</v>
      </c>
      <c r="J67" s="112">
        <f t="shared" si="65"/>
        <v>1271.9330764840197</v>
      </c>
    </row>
    <row r="68" spans="1:10" ht="15">
      <c r="A68" s="108" t="s">
        <v>156</v>
      </c>
      <c r="B68" s="109">
        <v>2.0000000000000001E-4</v>
      </c>
      <c r="C68" s="123"/>
      <c r="D68" s="124"/>
      <c r="E68" s="110">
        <f>IFERROR(VLOOKUP("At-218",$A$4:$J$32,3)*VLOOKUP("At-218",Doses!$A$1:$O$40,8)*$B68,0)</f>
        <v>6.875</v>
      </c>
      <c r="F68" s="122">
        <f>IFERROR(VLOOKUP("At-218",$A$4:$J$32,4)*VLOOKUP("At-218",Doses!$A$1:$O$40,10)*$B68,0)</f>
        <v>3.1392694063926945E-4</v>
      </c>
      <c r="G68" s="112">
        <f>SUM(E68:F68)</f>
        <v>6.8753139269406391</v>
      </c>
      <c r="H68" s="110">
        <f t="shared" si="63"/>
        <v>0.25437500000000024</v>
      </c>
      <c r="I68" s="111">
        <f t="shared" si="64"/>
        <v>1.1615296803652981E-5</v>
      </c>
      <c r="J68" s="112">
        <f t="shared" si="65"/>
        <v>0.2543866152968039</v>
      </c>
    </row>
    <row r="69" spans="1:10" ht="15">
      <c r="A69" s="108" t="s">
        <v>158</v>
      </c>
      <c r="B69" s="109">
        <v>1.9999999999999999E-7</v>
      </c>
      <c r="C69" s="123"/>
      <c r="D69" s="124"/>
      <c r="E69" s="110">
        <f>IFERROR(VLOOKUP("Rn-218",$A$4:$J$32,3)*VLOOKUP("Rn-218",Doses!$A$1:$O$40,8)*$B69,0)</f>
        <v>6.875E-3</v>
      </c>
      <c r="F69" s="122">
        <f>IFERROR(VLOOKUP("Rn-218",$A$4:$J$32,4)*VLOOKUP("Rn-218",Doses!$A$1:$O$40,10)*$B69,0)</f>
        <v>3.1392694063926939E-7</v>
      </c>
      <c r="G69" s="112">
        <f>SUM(E69:F69)</f>
        <v>6.8753139269406389E-3</v>
      </c>
      <c r="H69" s="110">
        <f t="shared" si="63"/>
        <v>2.5437500000000026E-4</v>
      </c>
      <c r="I69" s="111">
        <f t="shared" si="64"/>
        <v>1.1615296803652979E-8</v>
      </c>
      <c r="J69" s="112">
        <f t="shared" si="65"/>
        <v>2.543866152968039E-4</v>
      </c>
    </row>
    <row r="70" spans="1:10" ht="15">
      <c r="A70" s="108" t="s">
        <v>155</v>
      </c>
      <c r="B70" s="109">
        <v>0.99980000000000002</v>
      </c>
      <c r="C70" s="123"/>
      <c r="D70" s="124"/>
      <c r="E70" s="110">
        <f>IFERROR(VLOOKUP("Pb-214",$A$4:$J$32,3)*VLOOKUP("Pb-214",Doses!$A$1:$O$40,8)*$B70,0)</f>
        <v>34368.125</v>
      </c>
      <c r="F70" s="122">
        <f>IFERROR(VLOOKUP("Pb-214",$A$4:$J$32,4)*VLOOKUP("Pb-214",Doses!$A$1:$O$40,10)*$B70,0)</f>
        <v>1.569320776255708</v>
      </c>
      <c r="G70" s="112">
        <f t="shared" ref="G70:G75" si="71">SUM(E70:F70)</f>
        <v>34369.694320776252</v>
      </c>
      <c r="H70" s="110">
        <f t="shared" si="63"/>
        <v>1271.6206250000014</v>
      </c>
      <c r="I70" s="111">
        <f t="shared" si="64"/>
        <v>5.8064868721461257E-2</v>
      </c>
      <c r="J70" s="112">
        <f t="shared" si="65"/>
        <v>1271.6786898687226</v>
      </c>
    </row>
    <row r="71" spans="1:10" ht="15">
      <c r="A71" s="108" t="s">
        <v>157</v>
      </c>
      <c r="B71" s="109">
        <v>0.99999979999999999</v>
      </c>
      <c r="C71" s="123"/>
      <c r="D71" s="124"/>
      <c r="E71" s="110">
        <f>IFERROR(VLOOKUP("Bi-214",$A$4:$J$32,3)*VLOOKUP("Bi-214",Doses!$A$1:$O$40,8)*$B71,0)</f>
        <v>34374.993125000001</v>
      </c>
      <c r="F71" s="122">
        <f>IFERROR(VLOOKUP("Bi-214",$A$4:$J$32,4)*VLOOKUP("Bi-214",Doses!$A$1:$O$40,10)*$B71,0)</f>
        <v>1.5696343892694065</v>
      </c>
      <c r="G71" s="112">
        <f t="shared" si="71"/>
        <v>34376.562759389271</v>
      </c>
      <c r="H71" s="110">
        <f t="shared" si="63"/>
        <v>1271.8747456250014</v>
      </c>
      <c r="I71" s="111">
        <f t="shared" si="64"/>
        <v>5.80764724029681E-2</v>
      </c>
      <c r="J71" s="112">
        <f t="shared" si="65"/>
        <v>1271.9328220974044</v>
      </c>
    </row>
    <row r="72" spans="1:10" ht="15">
      <c r="A72" s="108" t="s">
        <v>159</v>
      </c>
      <c r="B72" s="109">
        <v>0.99979000004200003</v>
      </c>
      <c r="C72" s="123"/>
      <c r="D72" s="124"/>
      <c r="E72" s="110">
        <f>IFERROR(VLOOKUP("Po-214",$A$4:$J$32,3)*VLOOKUP("Po-214",Doses!$A$1:$O$40,8)*$B72,0)</f>
        <v>34367.781251443754</v>
      </c>
      <c r="F72" s="122">
        <f>IFERROR(VLOOKUP("Po-214",$A$4:$J$32,4)*VLOOKUP("Po-214",Doses!$A$1:$O$40,10)*$B72,0)</f>
        <v>1.5693050799746007</v>
      </c>
      <c r="G72" s="112">
        <f t="shared" si="71"/>
        <v>34369.350556523728</v>
      </c>
      <c r="H72" s="110">
        <f t="shared" si="63"/>
        <v>1271.6079063034201</v>
      </c>
      <c r="I72" s="111">
        <f t="shared" si="64"/>
        <v>5.8064287959060282E-2</v>
      </c>
      <c r="J72" s="112">
        <f t="shared" si="65"/>
        <v>1271.6659705913792</v>
      </c>
    </row>
    <row r="73" spans="1:10" ht="15">
      <c r="A73" s="108" t="s">
        <v>160</v>
      </c>
      <c r="B73" s="109">
        <v>2.0999995799999999E-4</v>
      </c>
      <c r="C73" s="123"/>
      <c r="D73" s="124"/>
      <c r="E73" s="110">
        <f>IFERROR(VLOOKUP("Tl-210",$A$4:$J$32,3)*VLOOKUP("Tl-210",Doses!$A$1:$O$40,8)*$B73,0)</f>
        <v>7.2187485562499996</v>
      </c>
      <c r="F73" s="122">
        <f>IFERROR(VLOOKUP("Tl-210",$A$4:$J$32,4)*VLOOKUP("Tl-210",Doses!$A$1:$O$40,10)*$B73,0)</f>
        <v>3.2962322174657534E-4</v>
      </c>
      <c r="G73" s="112">
        <f t="shared" si="71"/>
        <v>7.2190781794717465</v>
      </c>
      <c r="H73" s="110">
        <f t="shared" si="63"/>
        <v>0.26709369658125026</v>
      </c>
      <c r="I73" s="111">
        <f t="shared" si="64"/>
        <v>1.21960592046233E-5</v>
      </c>
      <c r="J73" s="112">
        <f t="shared" si="65"/>
        <v>0.26710589264045487</v>
      </c>
    </row>
    <row r="74" spans="1:10" ht="15">
      <c r="A74" s="108" t="s">
        <v>161</v>
      </c>
      <c r="B74" s="109">
        <v>1</v>
      </c>
      <c r="C74" s="123"/>
      <c r="D74" s="124"/>
      <c r="E74" s="110">
        <f>IFERROR(VLOOKUP("Pb-210",$A$4:$J$32,3)*VLOOKUP("Pb-210",Doses!$A$1:$O$40,8)*$B74,0)</f>
        <v>34375</v>
      </c>
      <c r="F74" s="122">
        <f>IFERROR(VLOOKUP("Pb-210",$A$4:$J$32,4)*VLOOKUP("Pb-210",Doses!$A$1:$O$40,10)*$B74,0)</f>
        <v>1.5696347031963471</v>
      </c>
      <c r="G74" s="112">
        <f t="shared" si="71"/>
        <v>34376.569634703199</v>
      </c>
      <c r="H74" s="110">
        <f t="shared" si="63"/>
        <v>1271.8750000000014</v>
      </c>
      <c r="I74" s="111">
        <f t="shared" si="64"/>
        <v>5.8076484018264901E-2</v>
      </c>
      <c r="J74" s="112">
        <f t="shared" si="65"/>
        <v>1271.9330764840197</v>
      </c>
    </row>
    <row r="75" spans="1:10" ht="15">
      <c r="A75" s="108" t="s">
        <v>162</v>
      </c>
      <c r="B75" s="109">
        <v>1</v>
      </c>
      <c r="C75" s="123"/>
      <c r="D75" s="124"/>
      <c r="E75" s="110">
        <f>IFERROR(VLOOKUP("Bi-210",$A$4:$J$32,3)*VLOOKUP("Bi-210",Doses!$A$1:$O$40,8)*$B75,0)</f>
        <v>34375</v>
      </c>
      <c r="F75" s="122">
        <f>IFERROR(VLOOKUP("Bi-210",$A$4:$J$32,4)*VLOOKUP("Bi-210",Doses!$A$1:$O$40,10)*$B75,0)</f>
        <v>1.5696347031963471</v>
      </c>
      <c r="G75" s="112">
        <f t="shared" si="71"/>
        <v>34376.569634703199</v>
      </c>
      <c r="H75" s="110">
        <f t="shared" si="63"/>
        <v>1271.8750000000014</v>
      </c>
      <c r="I75" s="111">
        <f t="shared" si="64"/>
        <v>5.8076484018264901E-2</v>
      </c>
      <c r="J75" s="112">
        <f t="shared" si="65"/>
        <v>1271.9330764840197</v>
      </c>
    </row>
    <row r="76" spans="1:10" ht="15">
      <c r="A76" s="108" t="s">
        <v>164</v>
      </c>
      <c r="B76" s="109">
        <v>1</v>
      </c>
      <c r="C76" s="123"/>
      <c r="D76" s="124"/>
      <c r="E76" s="110">
        <f>IFERROR(VLOOKUP("Po-210",$A$4:$J$32,3)*VLOOKUP("Po-210",Doses!$A$1:$O$40,8)*$B76,0)</f>
        <v>34375</v>
      </c>
      <c r="F76" s="122">
        <f>IFERROR(VLOOKUP("Po-210",$A$4:$J$32,4)*VLOOKUP("Po-210",Doses!$A$1:$O$40,10)*$B76,0)</f>
        <v>1.5696347031963471</v>
      </c>
      <c r="G76" s="112">
        <f>SUM(E76:F76)</f>
        <v>34376.569634703199</v>
      </c>
      <c r="H76" s="110">
        <f t="shared" si="63"/>
        <v>1271.8750000000014</v>
      </c>
      <c r="I76" s="111">
        <f t="shared" si="64"/>
        <v>5.8076484018264901E-2</v>
      </c>
      <c r="J76" s="112">
        <f t="shared" si="65"/>
        <v>1271.9330764840197</v>
      </c>
    </row>
    <row r="77" spans="1:10" ht="15">
      <c r="A77" s="108" t="s">
        <v>163</v>
      </c>
      <c r="B77" s="109">
        <v>1.9000000000000001E-8</v>
      </c>
      <c r="C77" s="123"/>
      <c r="D77" s="124"/>
      <c r="E77" s="110">
        <f>IFERROR(VLOOKUP("Hg-206",$A$4:$J$32,3)*VLOOKUP("Hg-206",Doses!$A$1:$O$40,8)*$B77,0)</f>
        <v>6.5312500000000006E-4</v>
      </c>
      <c r="F77" s="122">
        <f>IFERROR(VLOOKUP("Hg-206",$A$4:$J$32,4)*VLOOKUP("Hg-206",Doses!$A$1:$O$40,10)*$B77,0)</f>
        <v>2.9823059360730597E-8</v>
      </c>
      <c r="G77" s="112">
        <f t="shared" ref="G77:G78" si="72">SUM(E77:F77)</f>
        <v>6.5315482305936077E-4</v>
      </c>
      <c r="H77" s="110">
        <f t="shared" si="63"/>
        <v>2.4165625000000027E-5</v>
      </c>
      <c r="I77" s="111">
        <f t="shared" si="64"/>
        <v>1.1034531963470332E-9</v>
      </c>
      <c r="J77" s="112">
        <f t="shared" si="65"/>
        <v>2.4166728453196373E-5</v>
      </c>
    </row>
    <row r="78" spans="1:10" ht="15">
      <c r="A78" s="108" t="s">
        <v>165</v>
      </c>
      <c r="B78" s="109">
        <v>1.339E-6</v>
      </c>
      <c r="C78" s="123"/>
      <c r="D78" s="124"/>
      <c r="E78" s="110">
        <f>IFERROR(VLOOKUP("Tl-206",$A$4:$J$32,3)*VLOOKUP("Tl-206",Doses!$A$1:$O$40,8)*$B78,0)</f>
        <v>4.6028125000000003E-2</v>
      </c>
      <c r="F78" s="122">
        <f>IFERROR(VLOOKUP("Tl-206",$A$4:$J$32,4)*VLOOKUP("Tl-206",Doses!$A$1:$O$40,10)*$B78,0)</f>
        <v>2.1017408675799087E-6</v>
      </c>
      <c r="G78" s="112">
        <f t="shared" si="72"/>
        <v>4.6030226740867583E-2</v>
      </c>
      <c r="H78" s="110">
        <f t="shared" si="63"/>
        <v>1.7030406250000019E-3</v>
      </c>
      <c r="I78" s="111">
        <f t="shared" si="64"/>
        <v>7.7764412100456698E-8</v>
      </c>
      <c r="J78" s="112">
        <f t="shared" si="65"/>
        <v>1.7031183894121024E-3</v>
      </c>
    </row>
  </sheetData>
  <sheetProtection algorithmName="SHA-512" hashValue="spc35kqoJRntrenCCDLt6msHQEJVSablZeRs0+I7dUx/5etKC38vBW4Wt3XtkJQhjBFw/KQb9jKIzknRoO9PuQ==" saltValue="AewTlVWSUizJAhMx5HQx0A==" spinCount="100000" sheet="1" formatCells="0" formatColumns="0" formatRows="0" insertColumns="0" insertRows="0" autoFilter="0"/>
  <autoFilter ref="A2:J78" xr:uid="{00000000-0009-0000-0000-000015000000}"/>
  <mergeCells count="3">
    <mergeCell ref="E1:G1"/>
    <mergeCell ref="H1:J1"/>
    <mergeCell ref="C1:D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7" tint="0.79998168889431442"/>
  </sheetPr>
  <dimension ref="A1:Q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5.42578125" style="22" bestFit="1" customWidth="1"/>
    <col min="4" max="4" width="15.7109375" style="22" bestFit="1" customWidth="1"/>
    <col min="5" max="6" width="16.42578125" style="22" bestFit="1" customWidth="1"/>
    <col min="7" max="7" width="17.42578125" style="22" bestFit="1" customWidth="1"/>
    <col min="8" max="8" width="15.42578125" style="22" bestFit="1" customWidth="1"/>
    <col min="9" max="9" width="15.7109375" style="22" bestFit="1" customWidth="1"/>
    <col min="10" max="11" width="16.42578125" style="22" bestFit="1" customWidth="1"/>
    <col min="12" max="12" width="17.42578125" style="22" bestFit="1" customWidth="1"/>
    <col min="13" max="13" width="15.42578125" style="22" bestFit="1" customWidth="1"/>
    <col min="14" max="14" width="15.7109375" style="22" bestFit="1" customWidth="1"/>
    <col min="15" max="16" width="16.42578125" style="22" bestFit="1" customWidth="1"/>
    <col min="17" max="17" width="17.42578125" style="22" bestFit="1" customWidth="1"/>
  </cols>
  <sheetData>
    <row r="1" spans="1:17" ht="13.5" thickBot="1">
      <c r="C1" s="142" t="s">
        <v>227</v>
      </c>
      <c r="D1" s="143"/>
      <c r="E1" s="143"/>
      <c r="F1" s="143"/>
      <c r="G1" s="144"/>
      <c r="H1" s="142" t="s">
        <v>51</v>
      </c>
      <c r="I1" s="143"/>
      <c r="J1" s="143"/>
      <c r="K1" s="143"/>
      <c r="L1" s="144"/>
      <c r="M1" s="142" t="s">
        <v>100</v>
      </c>
      <c r="N1" s="143"/>
      <c r="O1" s="143"/>
      <c r="P1" s="143"/>
      <c r="Q1" s="144"/>
    </row>
    <row r="2" spans="1:17">
      <c r="A2" s="11" t="s">
        <v>0</v>
      </c>
      <c r="B2" s="11" t="s">
        <v>43</v>
      </c>
      <c r="C2" s="23" t="s">
        <v>116</v>
      </c>
      <c r="D2" s="24" t="s">
        <v>117</v>
      </c>
      <c r="E2" s="24" t="s">
        <v>118</v>
      </c>
      <c r="F2" s="24" t="s">
        <v>119</v>
      </c>
      <c r="G2" s="25" t="s">
        <v>120</v>
      </c>
      <c r="H2" s="23" t="s">
        <v>116</v>
      </c>
      <c r="I2" s="24" t="s">
        <v>117</v>
      </c>
      <c r="J2" s="24" t="s">
        <v>118</v>
      </c>
      <c r="K2" s="24" t="s">
        <v>119</v>
      </c>
      <c r="L2" s="25" t="s">
        <v>120</v>
      </c>
      <c r="M2" s="23" t="s">
        <v>116</v>
      </c>
      <c r="N2" s="24" t="s">
        <v>117</v>
      </c>
      <c r="O2" s="24" t="s">
        <v>118</v>
      </c>
      <c r="P2" s="24" t="s">
        <v>119</v>
      </c>
      <c r="Q2" s="25" t="s">
        <v>120</v>
      </c>
    </row>
    <row r="3" spans="1:17" ht="13.5" thickBot="1">
      <c r="B3" s="26" t="s">
        <v>44</v>
      </c>
      <c r="C3" s="93" t="s">
        <v>218</v>
      </c>
      <c r="D3" s="120" t="s">
        <v>218</v>
      </c>
      <c r="E3" s="120" t="s">
        <v>218</v>
      </c>
      <c r="F3" s="120" t="s">
        <v>218</v>
      </c>
      <c r="G3" s="94" t="s">
        <v>218</v>
      </c>
      <c r="H3" s="100" t="s">
        <v>219</v>
      </c>
      <c r="I3" s="101" t="s">
        <v>219</v>
      </c>
      <c r="J3" s="101" t="s">
        <v>219</v>
      </c>
      <c r="K3" s="101" t="s">
        <v>219</v>
      </c>
      <c r="L3" s="102" t="s">
        <v>219</v>
      </c>
      <c r="M3" s="100" t="s">
        <v>219</v>
      </c>
      <c r="N3" s="101" t="s">
        <v>219</v>
      </c>
      <c r="O3" s="101" t="s">
        <v>219</v>
      </c>
      <c r="P3" s="101" t="s">
        <v>219</v>
      </c>
      <c r="Q3" s="102" t="s">
        <v>219</v>
      </c>
    </row>
    <row r="4" spans="1:17">
      <c r="A4" s="82" t="s">
        <v>23</v>
      </c>
      <c r="B4" s="12" t="s">
        <v>50</v>
      </c>
      <c r="C4" s="127">
        <f>s_C*s_EFiw*(1/365)*s_ETiw*(1/24)*Isospec!M3*s_Fin*s_Fi*s_Fam*s_Foff*s_GSFb</f>
        <v>0.30090027071826486</v>
      </c>
      <c r="D4" s="127">
        <f>s_C*s_EFiw*(1/365)*s_ETiw*(1/24)*Isospec!L3*s_Fin*s_Fi*s_Fam*s_Foff*s_GSFb</f>
        <v>0.948419171325799</v>
      </c>
      <c r="E4" s="127">
        <f>s_C*s_EFiw*(1/365)*s_ETiw*(1/24)*Isospec!N3*s_Fin*s_Fi*s_Fam*s_Foff*s_GSFb</f>
        <v>0.57058683790216891</v>
      </c>
      <c r="F4" s="127">
        <f>s_C*s_EFiw*(1/365)*s_ETiw*(1/24)*Isospec!O3*s_Fin*s_Fi*s_Fam*s_Foff*s_GSFb</f>
        <v>0.59772688047956624</v>
      </c>
      <c r="G4" s="127">
        <f>s_C*s_EFiw*(1/365)*s_ETiw*(1/24)*Isospec!P3*s_Fin*s_Fi*s_Fam*s_Foff*s_GSFb</f>
        <v>0.50484316284178077</v>
      </c>
      <c r="H4" s="2">
        <f>C4*Doses!I2</f>
        <v>1.5045013535913243</v>
      </c>
      <c r="I4" s="3">
        <f>D4*Doses!L2</f>
        <v>4.7420958566289952</v>
      </c>
      <c r="J4" s="3">
        <f>E4*Doses!M2</f>
        <v>2.8529341895108447</v>
      </c>
      <c r="K4" s="3">
        <f>F4*Doses!N2</f>
        <v>2.9886344023978313</v>
      </c>
      <c r="L4" s="5">
        <f>G4*Doses!O2</f>
        <v>2.5242158142089037</v>
      </c>
      <c r="M4" s="2">
        <f t="shared" ref="M4:M5" si="0">IFERROR(H4/s_1_bq,".")</f>
        <v>5.5666550082879053E-2</v>
      </c>
      <c r="N4" s="3">
        <f t="shared" ref="N4:N5" si="1">IFERROR(I4/s_1_bq,".")</f>
        <v>0.175457546695273</v>
      </c>
      <c r="O4" s="3">
        <f t="shared" ref="O4:O5" si="2">IFERROR(J4/s_1_bq,".")</f>
        <v>0.10555856501190136</v>
      </c>
      <c r="P4" s="3">
        <f t="shared" ref="P4:P5" si="3">IFERROR(K4/s_1_bq,".")</f>
        <v>0.11057947288871987</v>
      </c>
      <c r="Q4" s="5">
        <f t="shared" ref="Q4:Q5" si="4">IFERROR(L4/s_1_bq,".")</f>
        <v>9.3395985125729539E-2</v>
      </c>
    </row>
    <row r="5" spans="1:17">
      <c r="A5" s="83" t="s">
        <v>14</v>
      </c>
      <c r="B5" s="12" t="s">
        <v>44</v>
      </c>
      <c r="C5" s="127">
        <f>s_C*s_EFiw*(1/365)*s_ETiw*(1/24)*Isospec!M4*s_Fin*s_Fi*s_Fam*s_Foff*s_GSFb</f>
        <v>0.58817687385730599</v>
      </c>
      <c r="D5" s="127">
        <f>s_C*s_EFiw*(1/365)*s_ETiw*(1/24)*Isospec!L4*s_Fin*s_Fi*s_Fam*s_Foff*s_GSFb</f>
        <v>1.3352663081514795</v>
      </c>
      <c r="E5" s="127">
        <f>s_C*s_EFiw*(1/365)*s_ETiw*(1/24)*Isospec!N4*s_Fin*s_Fi*s_Fam*s_Foff*s_GSFb</f>
        <v>1.3752890670271074</v>
      </c>
      <c r="F5" s="127">
        <f>s_C*s_EFiw*(1/365)*s_ETiw*(1/24)*Isospec!O4*s_Fin*s_Fi*s_Fam*s_Foff*s_GSFb</f>
        <v>1.2391936453102879</v>
      </c>
      <c r="G5" s="127">
        <f>s_C*s_EFiw*(1/365)*s_ETiw*(1/24)*Isospec!P4*s_Fin*s_Fi*s_Fam*s_Foff*s_GSFb</f>
        <v>0.79491386010521248</v>
      </c>
      <c r="H5" s="2">
        <f>C5*Doses!I3</f>
        <v>2.9408843692865299</v>
      </c>
      <c r="I5" s="3">
        <f>D5*Doses!L3</f>
        <v>6.6763315407573973</v>
      </c>
      <c r="J5" s="3">
        <f>E5*Doses!M3</f>
        <v>6.8764453351355375</v>
      </c>
      <c r="K5" s="3">
        <f>F5*Doses!N3</f>
        <v>6.1959682265514395</v>
      </c>
      <c r="L5" s="5">
        <f>G5*Doses!O3</f>
        <v>3.9745693005260625</v>
      </c>
      <c r="M5" s="2">
        <f t="shared" si="0"/>
        <v>0.10881272166360172</v>
      </c>
      <c r="N5" s="3">
        <f t="shared" si="1"/>
        <v>0.24702426700802396</v>
      </c>
      <c r="O5" s="3">
        <f t="shared" si="2"/>
        <v>0.25442847740001512</v>
      </c>
      <c r="P5" s="3">
        <f t="shared" si="3"/>
        <v>0.22925082438240349</v>
      </c>
      <c r="Q5" s="5">
        <f t="shared" si="4"/>
        <v>0.14705906411946446</v>
      </c>
    </row>
    <row r="6" spans="1:17">
      <c r="A6" s="82" t="s">
        <v>15</v>
      </c>
      <c r="B6" s="12" t="s">
        <v>50</v>
      </c>
      <c r="C6" s="127">
        <f>s_C*s_EFiw*(1/365)*s_ETiw*(1/24)*Isospec!M5*s_Fin*s_Fi*s_Fam*s_Foff*s_GSFb</f>
        <v>1.5931142640981735E-3</v>
      </c>
      <c r="D6" s="127">
        <f>s_C*s_EFiw*(1/365)*s_ETiw*(1/24)*Isospec!L5*s_Fin*s_Fi*s_Fam*s_Foff*s_GSFb</f>
        <v>1.8629554390057078E-3</v>
      </c>
      <c r="E6" s="127">
        <f>s_C*s_EFiw*(1/365)*s_ETiw*(1/24)*Isospec!N5*s_Fin*s_Fi*s_Fam*s_Foff*s_GSFb</f>
        <v>1.9694520667488586E-3</v>
      </c>
      <c r="F6" s="127">
        <f>s_C*s_EFiw*(1/365)*s_ETiw*(1/24)*Isospec!O5*s_Fin*s_Fi*s_Fam*s_Foff*s_GSFb</f>
        <v>1.8788143985981735E-3</v>
      </c>
      <c r="G6" s="127">
        <f>s_C*s_EFiw*(1/365)*s_ETiw*(1/24)*Isospec!P5*s_Fin*s_Fi*s_Fam*s_Foff*s_GSFb</f>
        <v>1.6834187209018266E-3</v>
      </c>
      <c r="H6" s="2">
        <f>C6*Doses!I4</f>
        <v>7.9655713204908676E-3</v>
      </c>
      <c r="I6" s="3">
        <f>D6*Doses!L4</f>
        <v>9.3147771950285382E-3</v>
      </c>
      <c r="J6" s="3">
        <f>E6*Doses!M4</f>
        <v>9.8472603337442927E-3</v>
      </c>
      <c r="K6" s="3">
        <f>F6*Doses!N4</f>
        <v>9.394071992990867E-3</v>
      </c>
      <c r="L6" s="5">
        <f>G6*Doses!O4</f>
        <v>8.4170936045091325E-3</v>
      </c>
      <c r="M6" s="2">
        <f t="shared" ref="M6:M8" si="5">IFERROR(H6/s_1_bq,".")</f>
        <v>2.9472613885816242E-4</v>
      </c>
      <c r="N6" s="3">
        <f t="shared" ref="N6:N8" si="6">IFERROR(I6/s_1_bq,".")</f>
        <v>3.4464675621605624E-4</v>
      </c>
      <c r="O6" s="3">
        <f t="shared" ref="O6:O8" si="7">IFERROR(J6/s_1_bq,".")</f>
        <v>3.6434863234853922E-4</v>
      </c>
      <c r="P6" s="3">
        <f t="shared" ref="P6:P8" si="8">IFERROR(K6/s_1_bq,".")</f>
        <v>3.4758066374066242E-4</v>
      </c>
      <c r="Q6" s="5">
        <f t="shared" ref="Q6:Q8" si="9">IFERROR(L6/s_1_bq,".")</f>
        <v>3.1143246336683822E-4</v>
      </c>
    </row>
    <row r="7" spans="1:17">
      <c r="A7" s="82" t="s">
        <v>16</v>
      </c>
      <c r="B7" s="84" t="s">
        <v>50</v>
      </c>
      <c r="C7" s="127">
        <f>s_C*s_EFiw*(1/365)*s_ETiw*(1/24)*Isospec!M6*s_Fin*s_Fi*s_Fam*s_Foff*s_GSFb</f>
        <v>0</v>
      </c>
      <c r="D7" s="127">
        <f>s_C*s_EFiw*(1/365)*s_ETiw*(1/24)*Isospec!L6*s_Fin*s_Fi*s_Fam*s_Foff*s_GSFb</f>
        <v>0</v>
      </c>
      <c r="E7" s="127">
        <f>s_C*s_EFiw*(1/365)*s_ETiw*(1/24)*Isospec!N6*s_Fin*s_Fi*s_Fam*s_Foff*s_GSFb</f>
        <v>0</v>
      </c>
      <c r="F7" s="127">
        <f>s_C*s_EFiw*(1/365)*s_ETiw*(1/24)*Isospec!O6*s_Fin*s_Fi*s_Fam*s_Foff*s_GSFb</f>
        <v>0</v>
      </c>
      <c r="G7" s="127">
        <f>s_C*s_EFiw*(1/365)*s_ETiw*(1/24)*Isospec!P6*s_Fin*s_Fi*s_Fam*s_Foff*s_GSFb</f>
        <v>0</v>
      </c>
      <c r="H7" s="2">
        <f>C7*Doses!I5</f>
        <v>0</v>
      </c>
      <c r="I7" s="3">
        <f>D7*Doses!L5</f>
        <v>0</v>
      </c>
      <c r="J7" s="3">
        <f>E7*Doses!M5</f>
        <v>0</v>
      </c>
      <c r="K7" s="3">
        <f>F7*Doses!N5</f>
        <v>0</v>
      </c>
      <c r="L7" s="5">
        <f>G7*Doses!O5</f>
        <v>0</v>
      </c>
      <c r="M7" s="2">
        <f t="shared" si="5"/>
        <v>0</v>
      </c>
      <c r="N7" s="3">
        <f t="shared" si="6"/>
        <v>0</v>
      </c>
      <c r="O7" s="3">
        <f t="shared" si="7"/>
        <v>0</v>
      </c>
      <c r="P7" s="3">
        <f t="shared" si="8"/>
        <v>0</v>
      </c>
      <c r="Q7" s="5">
        <f t="shared" si="9"/>
        <v>0</v>
      </c>
    </row>
    <row r="8" spans="1:17">
      <c r="A8" s="82" t="s">
        <v>18</v>
      </c>
      <c r="B8" s="12" t="s">
        <v>50</v>
      </c>
      <c r="C8" s="127">
        <f>s_C*s_EFiw*(1/365)*s_ETiw*(1/24)*Isospec!M7*s_Fin*s_Fi*s_Fam*s_Foff*s_GSFb</f>
        <v>1.5808660531621006</v>
      </c>
      <c r="D8" s="127">
        <f>s_C*s_EFiw*(1/365)*s_ETiw*(1/24)*Isospec!L7*s_Fin*s_Fi*s_Fam*s_Foff*s_GSFb</f>
        <v>1.1578532932886987</v>
      </c>
      <c r="E8" s="127">
        <f>s_C*s_EFiw*(1/365)*s_ETiw*(1/24)*Isospec!N7*s_Fin*s_Fi*s_Fam*s_Foff*s_GSFb</f>
        <v>1.5193251512146118</v>
      </c>
      <c r="F8" s="127">
        <f>s_C*s_EFiw*(1/365)*s_ETiw*(1/24)*Isospec!O7*s_Fin*s_Fi*s_Fam*s_Foff*s_GSFb</f>
        <v>1.6381736172773973</v>
      </c>
      <c r="G8" s="127">
        <f>s_C*s_EFiw*(1/365)*s_ETiw*(1/24)*Isospec!P7*s_Fin*s_Fi*s_Fam*s_Foff*s_GSFb</f>
        <v>1.3044325851860732</v>
      </c>
      <c r="H8" s="2">
        <f>C8*Doses!I6</f>
        <v>7.9043302658105032</v>
      </c>
      <c r="I8" s="3">
        <f>D8*Doses!L6</f>
        <v>5.7892664664434932</v>
      </c>
      <c r="J8" s="3">
        <f>E8*Doses!M6</f>
        <v>7.5966257560730588</v>
      </c>
      <c r="K8" s="3">
        <f>F8*Doses!N6</f>
        <v>8.1908680863869865</v>
      </c>
      <c r="L8" s="5">
        <f>G8*Doses!O6</f>
        <v>6.522162925930366</v>
      </c>
      <c r="M8" s="2">
        <f t="shared" si="5"/>
        <v>0.29246021983498893</v>
      </c>
      <c r="N8" s="3">
        <f t="shared" si="6"/>
        <v>0.21420285925840946</v>
      </c>
      <c r="O8" s="3">
        <f t="shared" si="7"/>
        <v>0.28107515297470348</v>
      </c>
      <c r="P8" s="3">
        <f t="shared" si="8"/>
        <v>0.30306211919631881</v>
      </c>
      <c r="Q8" s="5">
        <f t="shared" si="9"/>
        <v>0.24132002825942378</v>
      </c>
    </row>
    <row r="9" spans="1:17">
      <c r="A9" s="82" t="s">
        <v>19</v>
      </c>
      <c r="B9" s="85" t="s">
        <v>50</v>
      </c>
      <c r="C9" s="127">
        <f>s_C*s_EFiw*(1/365)*s_ETiw*(1/24)*Isospec!M8*s_Fin*s_Fi*s_Fam*s_Foff*s_GSFb</f>
        <v>1.9607602604634704E-6</v>
      </c>
      <c r="D9" s="127">
        <f>s_C*s_EFiw*(1/365)*s_ETiw*(1/24)*Isospec!L8*s_Fin*s_Fi*s_Fam*s_Foff*s_GSFb</f>
        <v>1.9901825722819632E-6</v>
      </c>
      <c r="E9" s="127">
        <f>s_C*s_EFiw*(1/365)*s_ETiw*(1/24)*Isospec!N8*s_Fin*s_Fi*s_Fam*s_Foff*s_GSFb</f>
        <v>2.315692763359589E-6</v>
      </c>
      <c r="F9" s="127">
        <f>s_C*s_EFiw*(1/365)*s_ETiw*(1/24)*Isospec!O8*s_Fin*s_Fi*s_Fam*s_Foff*s_GSFb</f>
        <v>2.3168246686586758E-6</v>
      </c>
      <c r="G9" s="127">
        <f>s_C*s_EFiw*(1/365)*s_ETiw*(1/24)*Isospec!P8*s_Fin*s_Fi*s_Fam*s_Foff*s_GSFb</f>
        <v>1.963032993204338E-6</v>
      </c>
      <c r="H9" s="2">
        <f>C9*Doses!I7</f>
        <v>9.8038013023173518E-6</v>
      </c>
      <c r="I9" s="3">
        <f>D9*Doses!L7</f>
        <v>9.9509128614098164E-6</v>
      </c>
      <c r="J9" s="3">
        <f>E9*Doses!M7</f>
        <v>1.1578463816797945E-5</v>
      </c>
      <c r="K9" s="3">
        <f>F9*Doses!N7</f>
        <v>1.1584123343293379E-5</v>
      </c>
      <c r="L9" s="5">
        <f>G9*Doses!O7</f>
        <v>9.8151649660216898E-6</v>
      </c>
      <c r="M9" s="2">
        <f t="shared" ref="M9:M11" si="10">IFERROR(H9/s_1_bq,".")</f>
        <v>3.6274064818574236E-7</v>
      </c>
      <c r="N9" s="3">
        <f t="shared" ref="N9:N11" si="11">IFERROR(I9/s_1_bq,".")</f>
        <v>3.6818377587216356E-7</v>
      </c>
      <c r="O9" s="3">
        <f t="shared" ref="O9:O11" si="12">IFERROR(J9/s_1_bq,".")</f>
        <v>4.284031612215244E-7</v>
      </c>
      <c r="P9" s="3">
        <f t="shared" ref="P9:P11" si="13">IFERROR(K9/s_1_bq,".")</f>
        <v>4.2861256370185547E-7</v>
      </c>
      <c r="Q9" s="5">
        <f t="shared" ref="Q9:Q11" si="14">IFERROR(L9/s_1_bq,".")</f>
        <v>3.631611037428029E-7</v>
      </c>
    </row>
    <row r="10" spans="1:17">
      <c r="A10" s="82" t="s">
        <v>20</v>
      </c>
      <c r="B10" s="12" t="s">
        <v>50</v>
      </c>
      <c r="C10" s="127">
        <f>s_C*s_EFiw*(1/365)*s_ETiw*(1/24)*Isospec!M9*s_Fin*s_Fi*s_Fam*s_Foff*s_GSFb</f>
        <v>0.52010532823710043</v>
      </c>
      <c r="D10" s="127">
        <f>s_C*s_EFiw*(1/365)*s_ETiw*(1/24)*Isospec!L9*s_Fin*s_Fi*s_Fam*s_Foff*s_GSFb</f>
        <v>0.45325704488744289</v>
      </c>
      <c r="E10" s="127">
        <f>s_C*s_EFiw*(1/365)*s_ETiw*(1/24)*Isospec!N9*s_Fin*s_Fi*s_Fam*s_Foff*s_GSFb</f>
        <v>0.53411474663538805</v>
      </c>
      <c r="F10" s="127">
        <f>s_C*s_EFiw*(1/365)*s_ETiw*(1/24)*Isospec!O9*s_Fin*s_Fi*s_Fam*s_Foff*s_GSFb</f>
        <v>0.57784360947751146</v>
      </c>
      <c r="G10" s="127">
        <f>s_C*s_EFiw*(1/365)*s_ETiw*(1/24)*Isospec!P9*s_Fin*s_Fi*s_Fam*s_Foff*s_GSFb</f>
        <v>0.50291284846426931</v>
      </c>
      <c r="H10" s="2">
        <f>C10*Doses!I8</f>
        <v>2.6005266411855024</v>
      </c>
      <c r="I10" s="3">
        <f>D10*Doses!L8</f>
        <v>2.2662852244372145</v>
      </c>
      <c r="J10" s="3">
        <f>E10*Doses!M8</f>
        <v>2.6705737331769401</v>
      </c>
      <c r="K10" s="3">
        <f>F10*Doses!N8</f>
        <v>2.8892180473875575</v>
      </c>
      <c r="L10" s="5">
        <f>G10*Doses!O8</f>
        <v>2.5145642423213466</v>
      </c>
      <c r="M10" s="2">
        <f t="shared" si="10"/>
        <v>9.6219485723863685E-2</v>
      </c>
      <c r="N10" s="3">
        <f t="shared" si="11"/>
        <v>8.3852553304177027E-2</v>
      </c>
      <c r="O10" s="3">
        <f t="shared" si="12"/>
        <v>9.8811228127546891E-2</v>
      </c>
      <c r="P10" s="3">
        <f t="shared" si="13"/>
        <v>0.10690106775333974</v>
      </c>
      <c r="Q10" s="5">
        <f t="shared" si="14"/>
        <v>9.3038876965889916E-2</v>
      </c>
    </row>
    <row r="11" spans="1:17">
      <c r="A11" s="82" t="s">
        <v>21</v>
      </c>
      <c r="B11" s="85" t="s">
        <v>50</v>
      </c>
      <c r="C11" s="127">
        <f>s_C*s_EFiw*(1/365)*s_ETiw*(1/24)*Isospec!M10*s_Fin*s_Fi*s_Fam*s_Foff*s_GSFb</f>
        <v>2.306907313760274</v>
      </c>
      <c r="D11" s="127">
        <f>s_C*s_EFiw*(1/365)*s_ETiw*(1/24)*Isospec!L10*s_Fin*s_Fi*s_Fam*s_Foff*s_GSFb</f>
        <v>1.5819470080936073</v>
      </c>
      <c r="E11" s="127">
        <f>s_C*s_EFiw*(1/365)*s_ETiw*(1/24)*Isospec!N10*s_Fin*s_Fi*s_Fam*s_Foff*s_GSFb</f>
        <v>2.0948087567226028</v>
      </c>
      <c r="F11" s="127">
        <f>s_C*s_EFiw*(1/365)*s_ETiw*(1/24)*Isospec!O10*s_Fin*s_Fi*s_Fam*s_Foff*s_GSFb</f>
        <v>2.1765779374166665</v>
      </c>
      <c r="G11" s="127">
        <f>s_C*s_EFiw*(1/365)*s_ETiw*(1/24)*Isospec!P10*s_Fin*s_Fi*s_Fam*s_Foff*s_GSFb</f>
        <v>1.8225872050833334</v>
      </c>
      <c r="H11" s="2">
        <f>C11*Doses!I9</f>
        <v>11.53453656880137</v>
      </c>
      <c r="I11" s="3">
        <f>D11*Doses!L9</f>
        <v>7.9097350404680364</v>
      </c>
      <c r="J11" s="3">
        <f>E11*Doses!M9</f>
        <v>10.474043783613014</v>
      </c>
      <c r="K11" s="3">
        <f>F11*Doses!N9</f>
        <v>10.882889687083333</v>
      </c>
      <c r="L11" s="5">
        <f>G11*Doses!O9</f>
        <v>9.1129360254166674</v>
      </c>
      <c r="M11" s="2">
        <f t="shared" si="10"/>
        <v>0.42677785304565113</v>
      </c>
      <c r="N11" s="3">
        <f t="shared" si="11"/>
        <v>0.29266019649731767</v>
      </c>
      <c r="O11" s="3">
        <f t="shared" si="12"/>
        <v>0.38753961999368192</v>
      </c>
      <c r="P11" s="3">
        <f t="shared" si="13"/>
        <v>0.40266691842208374</v>
      </c>
      <c r="Q11" s="5">
        <f t="shared" si="14"/>
        <v>0.33717863294041706</v>
      </c>
    </row>
    <row r="12" spans="1:17">
      <c r="A12" s="83" t="s">
        <v>17</v>
      </c>
      <c r="B12" s="12" t="s">
        <v>44</v>
      </c>
      <c r="C12" s="127">
        <f>s_C*s_EFiw*(1/365)*s_ETiw*(1/24)*Isospec!M11*s_Fin*s_Fi*s_Fam*s_Foff*s_GSFb</f>
        <v>9.8404070686643826E-6</v>
      </c>
      <c r="D12" s="127">
        <f>s_C*s_EFiw*(1/365)*s_ETiw*(1/24)*Isospec!L11*s_Fin*s_Fi*s_Fam*s_Foff*s_GSFb</f>
        <v>1.4129346087942614</v>
      </c>
      <c r="E12" s="127">
        <f>s_C*s_EFiw*(1/365)*s_ETiw*(1/24)*Isospec!N11*s_Fin*s_Fi*s_Fam*s_Foff*s_GSFb</f>
        <v>1.7823743027966483</v>
      </c>
      <c r="F12" s="127">
        <f>s_C*s_EFiw*(1/365)*s_ETiw*(1/24)*Isospec!O11*s_Fin*s_Fi*s_Fam*s_Foff*s_GSFb</f>
        <v>1.7026797401187639</v>
      </c>
      <c r="G12" s="127">
        <f>s_C*s_EFiw*(1/365)*s_ETiw*(1/24)*Isospec!P11*s_Fin*s_Fi*s_Fam*s_Foff*s_GSFb</f>
        <v>2.3186140126123962</v>
      </c>
      <c r="H12" s="2">
        <f>C12*Doses!I10</f>
        <v>4.9202035343321912E-5</v>
      </c>
      <c r="I12" s="3">
        <f>D12*Doses!L10</f>
        <v>7.0646730439713066</v>
      </c>
      <c r="J12" s="3">
        <f>E12*Doses!M10</f>
        <v>8.9118715139832414</v>
      </c>
      <c r="K12" s="3">
        <f>F12*Doses!N10</f>
        <v>8.5133987005938199</v>
      </c>
      <c r="L12" s="5">
        <f>G12*Doses!O10</f>
        <v>11.593070063061981</v>
      </c>
      <c r="M12" s="2">
        <f t="shared" ref="M12" si="15">IFERROR(H12/s_1_bq,".")</f>
        <v>1.8204753077029125E-6</v>
      </c>
      <c r="N12" s="3">
        <f t="shared" ref="N12" si="16">IFERROR(I12/s_1_bq,".")</f>
        <v>0.26139290262693859</v>
      </c>
      <c r="O12" s="3">
        <f t="shared" ref="O12" si="17">IFERROR(J12/s_1_bq,".")</f>
        <v>0.32973924601738025</v>
      </c>
      <c r="P12" s="3">
        <f t="shared" ref="P12" si="18">IFERROR(K12/s_1_bq,".")</f>
        <v>0.31499575192197166</v>
      </c>
      <c r="Q12" s="5">
        <f t="shared" ref="Q12" si="19">IFERROR(L12/s_1_bq,".")</f>
        <v>0.42894359233329377</v>
      </c>
    </row>
    <row r="13" spans="1:17">
      <c r="A13" s="82" t="s">
        <v>24</v>
      </c>
      <c r="B13" s="12" t="s">
        <v>50</v>
      </c>
      <c r="C13" s="127">
        <f>s_C*s_EFiw*(1/365)*s_ETiw*(1/24)*Isospec!M12*s_Fin*s_Fi*s_Fam*s_Foff*s_GSFb</f>
        <v>0.22615766948299085</v>
      </c>
      <c r="D13" s="127">
        <f>s_C*s_EFiw*(1/365)*s_ETiw*(1/24)*Isospec!L12*s_Fin*s_Fi*s_Fam*s_Foff*s_GSFb</f>
        <v>0.2951547289078767</v>
      </c>
      <c r="E13" s="127">
        <f>s_C*s_EFiw*(1/365)*s_ETiw*(1/24)*Isospec!N12*s_Fin*s_Fi*s_Fam*s_Foff*s_GSFb</f>
        <v>0.32224342919999999</v>
      </c>
      <c r="F13" s="127">
        <f>s_C*s_EFiw*(1/365)*s_ETiw*(1/24)*Isospec!O12*s_Fin*s_Fi*s_Fam*s_Foff*s_GSFb</f>
        <v>0.29983191614486299</v>
      </c>
      <c r="G13" s="127">
        <f>s_C*s_EFiw*(1/365)*s_ETiw*(1/24)*Isospec!P12*s_Fin*s_Fi*s_Fam*s_Foff*s_GSFb</f>
        <v>0.24598312435947489</v>
      </c>
      <c r="H13" s="2">
        <f>C13*Doses!I11</f>
        <v>1.1307883474149543</v>
      </c>
      <c r="I13" s="3">
        <f>D13*Doses!L11</f>
        <v>1.4757736445393834</v>
      </c>
      <c r="J13" s="3">
        <f>E13*Doses!M11</f>
        <v>1.611217146</v>
      </c>
      <c r="K13" s="3">
        <f>F13*Doses!N11</f>
        <v>1.499159580724315</v>
      </c>
      <c r="L13" s="5">
        <f>G13*Doses!O11</f>
        <v>1.2299156217973746</v>
      </c>
      <c r="M13" s="2">
        <f t="shared" ref="M13" si="20">IFERROR(H13/s_1_bq,".")</f>
        <v>4.1839168854353348E-2</v>
      </c>
      <c r="N13" s="3">
        <f t="shared" ref="N13" si="21">IFERROR(I13/s_1_bq,".")</f>
        <v>5.4603624847957243E-2</v>
      </c>
      <c r="O13" s="3">
        <f t="shared" ref="O13" si="22">IFERROR(J13/s_1_bq,".")</f>
        <v>5.9615034402000062E-2</v>
      </c>
      <c r="P13" s="3">
        <f t="shared" ref="P13" si="23">IFERROR(K13/s_1_bq,".")</f>
        <v>5.5468904486799711E-2</v>
      </c>
      <c r="Q13" s="5">
        <f t="shared" ref="Q13" si="24">IFERROR(L13/s_1_bq,".")</f>
        <v>4.5506878006502903E-2</v>
      </c>
    </row>
    <row r="14" spans="1:17">
      <c r="A14" s="82" t="s">
        <v>22</v>
      </c>
      <c r="B14" s="84" t="s">
        <v>50</v>
      </c>
      <c r="C14" s="127">
        <f>s_C*s_EFiw*(1/365)*s_ETiw*(1/24)*Isospec!M13*s_Fin*s_Fi*s_Fam*s_Foff*s_GSFb</f>
        <v>0.67707907030650683</v>
      </c>
      <c r="D14" s="127">
        <f>s_C*s_EFiw*(1/365)*s_ETiw*(1/24)*Isospec!L13*s_Fin*s_Fi*s_Fam*s_Foff*s_GSFb</f>
        <v>0.72968100339611874</v>
      </c>
      <c r="E14" s="127">
        <f>s_C*s_EFiw*(1/365)*s_ETiw*(1/24)*Isospec!N13*s_Fin*s_Fi*s_Fam*s_Foff*s_GSFb</f>
        <v>0.82990452628253419</v>
      </c>
      <c r="F14" s="127">
        <f>s_C*s_EFiw*(1/365)*s_ETiw*(1/24)*Isospec!O13*s_Fin*s_Fi*s_Fam*s_Foff*s_GSFb</f>
        <v>0.82121398935319634</v>
      </c>
      <c r="G14" s="127">
        <f>s_C*s_EFiw*(1/365)*s_ETiw*(1/24)*Isospec!P13*s_Fin*s_Fi*s_Fam*s_Foff*s_GSFb</f>
        <v>0.69330256768013698</v>
      </c>
      <c r="H14" s="2">
        <f>C14*Doses!I12</f>
        <v>3.3853953515325341</v>
      </c>
      <c r="I14" s="3">
        <f>D14*Doses!L12</f>
        <v>3.6484050169805937</v>
      </c>
      <c r="J14" s="3">
        <f>E14*Doses!M12</f>
        <v>4.1495226314126707</v>
      </c>
      <c r="K14" s="3">
        <f>F14*Doses!N12</f>
        <v>4.1060699467659818</v>
      </c>
      <c r="L14" s="5">
        <f>G14*Doses!O12</f>
        <v>3.4665128384006847</v>
      </c>
      <c r="M14" s="2">
        <f t="shared" ref="M14" si="25">IFERROR(H14/s_1_bq,".")</f>
        <v>0.1252596280067039</v>
      </c>
      <c r="N14" s="3">
        <f t="shared" ref="N14" si="26">IFERROR(I14/s_1_bq,".")</f>
        <v>0.1349909856282821</v>
      </c>
      <c r="O14" s="3">
        <f t="shared" ref="O14" si="27">IFERROR(J14/s_1_bq,".")</f>
        <v>0.15353233736226898</v>
      </c>
      <c r="P14" s="3">
        <f t="shared" ref="P14" si="28">IFERROR(K14/s_1_bq,".")</f>
        <v>0.15192458803034148</v>
      </c>
      <c r="Q14" s="5">
        <f t="shared" ref="Q14" si="29">IFERROR(L14/s_1_bq,".")</f>
        <v>0.12826097502082545</v>
      </c>
    </row>
    <row r="15" spans="1:17">
      <c r="A15" s="82" t="s">
        <v>28</v>
      </c>
      <c r="B15" s="12" t="s">
        <v>50</v>
      </c>
      <c r="C15" s="127">
        <f>s_C*s_EFiw*(1/365)*s_ETiw*(1/24)*Isospec!M14*s_Fin*s_Fi*s_Fam*s_Foff*s_GSFb</f>
        <v>0.74941491009954331</v>
      </c>
      <c r="D15" s="127">
        <f>s_C*s_EFiw*(1/365)*s_ETiw*(1/24)*Isospec!L14*s_Fin*s_Fi*s_Fam*s_Foff*s_GSFb</f>
        <v>2.523330247769406</v>
      </c>
      <c r="E15" s="127">
        <f>s_C*s_EFiw*(1/365)*s_ETiw*(1/24)*Isospec!N14*s_Fin*s_Fi*s_Fam*s_Foff*s_GSFb</f>
        <v>1.4739045717979451</v>
      </c>
      <c r="F15" s="127">
        <f>s_C*s_EFiw*(1/365)*s_ETiw*(1/24)*Isospec!O14*s_Fin*s_Fi*s_Fam*s_Foff*s_GSFb</f>
        <v>1.6689464118789954</v>
      </c>
      <c r="G15" s="127">
        <f>s_C*s_EFiw*(1/365)*s_ETiw*(1/24)*Isospec!P14*s_Fin*s_Fi*s_Fam*s_Foff*s_GSFb</f>
        <v>1.4154806125593609</v>
      </c>
      <c r="H15" s="2">
        <f>C15*Doses!I13</f>
        <v>3.7470745504977163</v>
      </c>
      <c r="I15" s="3">
        <f>D15*Doses!L13</f>
        <v>12.61665123884703</v>
      </c>
      <c r="J15" s="3">
        <f>E15*Doses!M13</f>
        <v>7.3695228589897255</v>
      </c>
      <c r="K15" s="3">
        <f>F15*Doses!N13</f>
        <v>8.3447320593949765</v>
      </c>
      <c r="L15" s="5">
        <f>G15*Doses!O13</f>
        <v>7.0774030627968045</v>
      </c>
      <c r="M15" s="2">
        <f t="shared" ref="M15:M16" si="30">IFERROR(H15/s_1_bq,".")</f>
        <v>0.13864175836841564</v>
      </c>
      <c r="N15" s="3">
        <f t="shared" ref="N15:N16" si="31">IFERROR(I15/s_1_bq,".")</f>
        <v>0.46681609583734057</v>
      </c>
      <c r="O15" s="3">
        <f t="shared" ref="O15:O16" si="32">IFERROR(J15/s_1_bq,".")</f>
        <v>0.27267234578262012</v>
      </c>
      <c r="P15" s="3">
        <f t="shared" ref="P15:P16" si="33">IFERROR(K15/s_1_bq,".")</f>
        <v>0.30875508619761444</v>
      </c>
      <c r="Q15" s="5">
        <f t="shared" ref="Q15:Q16" si="34">IFERROR(L15/s_1_bq,".")</f>
        <v>0.26186391332348202</v>
      </c>
    </row>
    <row r="16" spans="1:17">
      <c r="A16" s="82" t="s">
        <v>29</v>
      </c>
      <c r="B16" s="12" t="s">
        <v>50</v>
      </c>
      <c r="C16" s="127">
        <f>s_C*s_EFiw*(1/365)*s_ETiw*(1/24)*Isospec!M15*s_Fin*s_Fi*s_Fam*s_Foff*s_GSFb</f>
        <v>1.7674199357054794</v>
      </c>
      <c r="D16" s="127">
        <f>s_C*s_EFiw*(1/365)*s_ETiw*(1/24)*Isospec!L15*s_Fin*s_Fi*s_Fam*s_Foff*s_GSFb</f>
        <v>3.2232827010799086</v>
      </c>
      <c r="E16" s="127">
        <f>s_C*s_EFiw*(1/365)*s_ETiw*(1/24)*Isospec!N15*s_Fin*s_Fi*s_Fam*s_Foff*s_GSFb</f>
        <v>2.6208001870479452</v>
      </c>
      <c r="F16" s="127">
        <f>s_C*s_EFiw*(1/365)*s_ETiw*(1/24)*Isospec!O15*s_Fin*s_Fi*s_Fam*s_Foff*s_GSFb</f>
        <v>2.8328370642979452</v>
      </c>
      <c r="G16" s="127">
        <f>s_C*s_EFiw*(1/365)*s_ETiw*(1/24)*Isospec!P15*s_Fin*s_Fi*s_Fam*s_Foff*s_GSFb</f>
        <v>2.2516693331803652</v>
      </c>
      <c r="H16" s="2">
        <f>C16*Doses!I14</f>
        <v>8.8370996785273963</v>
      </c>
      <c r="I16" s="3">
        <f>D16*Doses!L14</f>
        <v>16.116413505399542</v>
      </c>
      <c r="J16" s="3">
        <f>E16*Doses!M14</f>
        <v>13.104000935239725</v>
      </c>
      <c r="K16" s="3">
        <f>F16*Doses!N14</f>
        <v>14.164185321489725</v>
      </c>
      <c r="L16" s="5">
        <f>G16*Doses!O14</f>
        <v>11.258346665901826</v>
      </c>
      <c r="M16" s="2">
        <f t="shared" si="30"/>
        <v>0.326972688105514</v>
      </c>
      <c r="N16" s="3">
        <f t="shared" si="31"/>
        <v>0.59630729969978369</v>
      </c>
      <c r="O16" s="3">
        <f t="shared" si="32"/>
        <v>0.48484803460387033</v>
      </c>
      <c r="P16" s="3">
        <f t="shared" si="33"/>
        <v>0.52407485689512034</v>
      </c>
      <c r="Q16" s="5">
        <f t="shared" si="34"/>
        <v>0.41655882663836796</v>
      </c>
    </row>
    <row r="17" spans="1:17">
      <c r="A17" s="82" t="s">
        <v>32</v>
      </c>
      <c r="B17" s="12" t="s">
        <v>50</v>
      </c>
      <c r="C17" s="127">
        <f>s_C*s_EFiw*(1/365)*s_ETiw*(1/24)*Isospec!M16*s_Fin*s_Fi*s_Fam*s_Foff*s_GSFb</f>
        <v>0</v>
      </c>
      <c r="D17" s="127">
        <f>s_C*s_EFiw*(1/365)*s_ETiw*(1/24)*Isospec!L16*s_Fin*s_Fi*s_Fam*s_Foff*s_GSFb</f>
        <v>0</v>
      </c>
      <c r="E17" s="127">
        <f>s_C*s_EFiw*(1/365)*s_ETiw*(1/24)*Isospec!N16*s_Fin*s_Fi*s_Fam*s_Foff*s_GSFb</f>
        <v>0</v>
      </c>
      <c r="F17" s="127">
        <f>s_C*s_EFiw*(1/365)*s_ETiw*(1/24)*Isospec!O16*s_Fin*s_Fi*s_Fam*s_Foff*s_GSFb</f>
        <v>0</v>
      </c>
      <c r="G17" s="127">
        <f>s_C*s_EFiw*(1/365)*s_ETiw*(1/24)*Isospec!P16*s_Fin*s_Fi*s_Fam*s_Foff*s_GSFb</f>
        <v>0</v>
      </c>
      <c r="H17" s="2">
        <f>C17*Doses!I15</f>
        <v>0</v>
      </c>
      <c r="I17" s="3">
        <f>D17*Doses!L15</f>
        <v>0</v>
      </c>
      <c r="J17" s="3">
        <f>E17*Doses!M15</f>
        <v>0</v>
      </c>
      <c r="K17" s="3">
        <f>F17*Doses!N15</f>
        <v>0</v>
      </c>
      <c r="L17" s="5">
        <f>G17*Doses!O15</f>
        <v>0</v>
      </c>
      <c r="M17" s="2">
        <f t="shared" ref="M17:M23" si="35">IFERROR(H17/s_1_bq,".")</f>
        <v>0</v>
      </c>
      <c r="N17" s="3">
        <f t="shared" ref="N17:N23" si="36">IFERROR(I17/s_1_bq,".")</f>
        <v>0</v>
      </c>
      <c r="O17" s="3">
        <f t="shared" ref="O17:O23" si="37">IFERROR(J17/s_1_bq,".")</f>
        <v>0</v>
      </c>
      <c r="P17" s="3">
        <f t="shared" ref="P17:P23" si="38">IFERROR(K17/s_1_bq,".")</f>
        <v>0</v>
      </c>
      <c r="Q17" s="5">
        <f t="shared" ref="Q17:Q23" si="39">IFERROR(L17/s_1_bq,".")</f>
        <v>0</v>
      </c>
    </row>
    <row r="18" spans="1:17">
      <c r="A18" s="82" t="s">
        <v>33</v>
      </c>
      <c r="B18" s="85" t="s">
        <v>50</v>
      </c>
      <c r="C18" s="127">
        <f>s_C*s_EFiw*(1/365)*s_ETiw*(1/24)*Isospec!M17*s_Fin*s_Fi*s_Fam*s_Foff*s_GSFb</f>
        <v>0.23417551960753427</v>
      </c>
      <c r="D18" s="127">
        <f>s_C*s_EFiw*(1/365)*s_ETiw*(1/24)*Isospec!L17*s_Fin*s_Fi*s_Fam*s_Foff*s_GSFb</f>
        <v>1.0626674207492008</v>
      </c>
      <c r="E18" s="127">
        <f>s_C*s_EFiw*(1/365)*s_ETiw*(1/24)*Isospec!N17*s_Fin*s_Fi*s_Fam*s_Foff*s_GSFb</f>
        <v>0.51922446083561646</v>
      </c>
      <c r="F18" s="127">
        <f>s_C*s_EFiw*(1/365)*s_ETiw*(1/24)*Isospec!O17*s_Fin*s_Fi*s_Fam*s_Foff*s_GSFb</f>
        <v>0.51353682279920099</v>
      </c>
      <c r="G18" s="127">
        <f>s_C*s_EFiw*(1/365)*s_ETiw*(1/24)*Isospec!P17*s_Fin*s_Fi*s_Fam*s_Foff*s_GSFb</f>
        <v>0.48258440928550222</v>
      </c>
      <c r="H18" s="2">
        <f>C18*Doses!I16</f>
        <v>1.1708775980376713</v>
      </c>
      <c r="I18" s="3">
        <f>D18*Doses!L16</f>
        <v>5.3133371037460044</v>
      </c>
      <c r="J18" s="3">
        <f>E18*Doses!M16</f>
        <v>2.5961223041780821</v>
      </c>
      <c r="K18" s="3">
        <f>F18*Doses!N16</f>
        <v>2.5676841139960049</v>
      </c>
      <c r="L18" s="5">
        <f>G18*Doses!O16</f>
        <v>2.4129220464275112</v>
      </c>
      <c r="M18" s="2">
        <f t="shared" si="35"/>
        <v>4.3322471127393881E-2</v>
      </c>
      <c r="N18" s="3">
        <f t="shared" si="36"/>
        <v>0.19659347283860237</v>
      </c>
      <c r="O18" s="3">
        <f t="shared" si="37"/>
        <v>9.6056525254589131E-2</v>
      </c>
      <c r="P18" s="3">
        <f t="shared" si="38"/>
        <v>9.5004312217852285E-2</v>
      </c>
      <c r="Q18" s="5">
        <f t="shared" si="39"/>
        <v>8.9278115717818005E-2</v>
      </c>
    </row>
    <row r="19" spans="1:17">
      <c r="A19" s="82" t="s">
        <v>34</v>
      </c>
      <c r="B19" s="85" t="s">
        <v>50</v>
      </c>
      <c r="C19" s="127">
        <f>s_C*s_EFiw*(1/365)*s_ETiw*(1/24)*Isospec!M18*s_Fin*s_Fi*s_Fam*s_Foff*s_GSFb</f>
        <v>1.4733687050273974</v>
      </c>
      <c r="D19" s="127">
        <f>s_C*s_EFiw*(1/365)*s_ETiw*(1/24)*Isospec!L18*s_Fin*s_Fi*s_Fam*s_Foff*s_GSFb</f>
        <v>1.7619354722762559</v>
      </c>
      <c r="E19" s="127">
        <f>s_C*s_EFiw*(1/365)*s_ETiw*(1/24)*Isospec!N18*s_Fin*s_Fi*s_Fam*s_Foff*s_GSFb</f>
        <v>1.8286115052031964</v>
      </c>
      <c r="F19" s="127">
        <f>s_C*s_EFiw*(1/365)*s_ETiw*(1/24)*Isospec!O18*s_Fin*s_Fi*s_Fam*s_Foff*s_GSFb</f>
        <v>1.805477479252283</v>
      </c>
      <c r="G19" s="127">
        <f>s_C*s_EFiw*(1/365)*s_ETiw*(1/24)*Isospec!P18*s_Fin*s_Fi*s_Fam*s_Foff*s_GSFb</f>
        <v>1.5450594192853881</v>
      </c>
      <c r="H19" s="2">
        <f>C19*Doses!I17</f>
        <v>7.3668435251369866</v>
      </c>
      <c r="I19" s="3">
        <f>D19*Doses!L17</f>
        <v>8.8096773613812793</v>
      </c>
      <c r="J19" s="3">
        <f>E19*Doses!M17</f>
        <v>9.1430575260159817</v>
      </c>
      <c r="K19" s="3">
        <f>F19*Doses!N17</f>
        <v>9.027387396261414</v>
      </c>
      <c r="L19" s="5">
        <f>G19*Doses!O17</f>
        <v>7.7252970964269405</v>
      </c>
      <c r="M19" s="2">
        <f t="shared" si="35"/>
        <v>0.27257321043006877</v>
      </c>
      <c r="N19" s="3">
        <f t="shared" si="36"/>
        <v>0.32595806237110764</v>
      </c>
      <c r="O19" s="3">
        <f t="shared" si="37"/>
        <v>0.33829312846259169</v>
      </c>
      <c r="P19" s="3">
        <f t="shared" si="38"/>
        <v>0.33401333366167263</v>
      </c>
      <c r="Q19" s="5">
        <f t="shared" si="39"/>
        <v>0.28583599256779707</v>
      </c>
    </row>
    <row r="20" spans="1:17">
      <c r="A20" s="82" t="s">
        <v>36</v>
      </c>
      <c r="B20" s="85" t="s">
        <v>50</v>
      </c>
      <c r="C20" s="127">
        <f>s_C*s_EFiw*(1/365)*s_ETiw*(1/24)*Isospec!M19*s_Fin*s_Fi*s_Fam*s_Foff*s_GSFb</f>
        <v>2.2570640789520548E-5</v>
      </c>
      <c r="D20" s="127">
        <f>s_C*s_EFiw*(1/365)*s_ETiw*(1/24)*Isospec!L19*s_Fin*s_Fi*s_Fam*s_Foff*s_GSFb</f>
        <v>1.4006258052454338E-5</v>
      </c>
      <c r="E20" s="127">
        <f>s_C*s_EFiw*(1/365)*s_ETiw*(1/24)*Isospec!N19*s_Fin*s_Fi*s_Fam*s_Foff*s_GSFb</f>
        <v>1.9462383474554795E-5</v>
      </c>
      <c r="F20" s="127">
        <f>s_C*s_EFiw*(1/365)*s_ETiw*(1/24)*Isospec!O19*s_Fin*s_Fi*s_Fam*s_Foff*s_GSFb</f>
        <v>1.9936491916552512E-5</v>
      </c>
      <c r="G20" s="127">
        <f>s_C*s_EFiw*(1/365)*s_ETiw*(1/24)*Isospec!P19*s_Fin*s_Fi*s_Fam*s_Foff*s_GSFb</f>
        <v>1.7298776936004565E-5</v>
      </c>
      <c r="H20" s="2">
        <f>C20*Doses!I18</f>
        <v>1.1285320394760274E-4</v>
      </c>
      <c r="I20" s="3">
        <f>D20*Doses!L18</f>
        <v>7.0031290262271691E-5</v>
      </c>
      <c r="J20" s="3">
        <f>E20*Doses!M18</f>
        <v>9.7311917372773981E-5</v>
      </c>
      <c r="K20" s="3">
        <f>F20*Doses!N18</f>
        <v>9.9682459582762565E-5</v>
      </c>
      <c r="L20" s="5">
        <f>G20*Doses!O18</f>
        <v>8.6493884680022829E-5</v>
      </c>
      <c r="M20" s="2">
        <f t="shared" si="35"/>
        <v>4.175568546061306E-6</v>
      </c>
      <c r="N20" s="3">
        <f t="shared" si="36"/>
        <v>2.591157739704055E-6</v>
      </c>
      <c r="O20" s="3">
        <f t="shared" si="37"/>
        <v>3.6005409427926409E-6</v>
      </c>
      <c r="P20" s="3">
        <f t="shared" si="38"/>
        <v>3.6882510045622186E-6</v>
      </c>
      <c r="Q20" s="5">
        <f t="shared" si="39"/>
        <v>3.2002737331608477E-6</v>
      </c>
    </row>
    <row r="21" spans="1:17">
      <c r="A21" s="82" t="s">
        <v>37</v>
      </c>
      <c r="B21" s="12" t="s">
        <v>50</v>
      </c>
      <c r="C21" s="127">
        <f>s_C*s_EFiw*(1/365)*s_ETiw*(1/24)*Isospec!M20*s_Fin*s_Fi*s_Fam*s_Foff*s_GSFb</f>
        <v>9.0121716419166667E-5</v>
      </c>
      <c r="D21" s="127">
        <f>s_C*s_EFiw*(1/365)*s_ETiw*(1/24)*Isospec!L20*s_Fin*s_Fi*s_Fam*s_Foff*s_GSFb</f>
        <v>5.8322721555422374E-5</v>
      </c>
      <c r="E21" s="127">
        <f>s_C*s_EFiw*(1/365)*s_ETiw*(1/24)*Isospec!N20*s_Fin*s_Fi*s_Fam*s_Foff*s_GSFb</f>
        <v>7.9446953509577621E-5</v>
      </c>
      <c r="F21" s="127">
        <f>s_C*s_EFiw*(1/365)*s_ETiw*(1/24)*Isospec!O20*s_Fin*s_Fi*s_Fam*s_Foff*s_GSFb</f>
        <v>8.1485171716792231E-5</v>
      </c>
      <c r="G21" s="127">
        <f>s_C*s_EFiw*(1/365)*s_ETiw*(1/24)*Isospec!P20*s_Fin*s_Fi*s_Fam*s_Foff*s_GSFb</f>
        <v>7.0128168789337897E-5</v>
      </c>
      <c r="H21" s="2">
        <f>C21*Doses!I19</f>
        <v>4.5060858209583336E-4</v>
      </c>
      <c r="I21" s="3">
        <f>D21*Doses!L19</f>
        <v>2.9161360777711187E-4</v>
      </c>
      <c r="J21" s="3">
        <f>E21*Doses!M19</f>
        <v>3.9723476754788809E-4</v>
      </c>
      <c r="K21" s="3">
        <f>F21*Doses!N19</f>
        <v>4.0742585858396114E-4</v>
      </c>
      <c r="L21" s="5">
        <f>G21*Doses!O19</f>
        <v>3.5064084394668949E-4</v>
      </c>
      <c r="M21" s="2">
        <f t="shared" si="35"/>
        <v>1.6672517537545851E-5</v>
      </c>
      <c r="N21" s="3">
        <f t="shared" si="36"/>
        <v>1.0789703487753149E-5</v>
      </c>
      <c r="O21" s="3">
        <f t="shared" si="37"/>
        <v>1.4697686399271875E-5</v>
      </c>
      <c r="P21" s="3">
        <f t="shared" si="38"/>
        <v>1.5074756767606578E-5</v>
      </c>
      <c r="Q21" s="5">
        <f t="shared" si="39"/>
        <v>1.2973711226027524E-5</v>
      </c>
    </row>
    <row r="22" spans="1:17">
      <c r="A22" s="82" t="s">
        <v>38</v>
      </c>
      <c r="B22" s="85" t="s">
        <v>50</v>
      </c>
      <c r="C22" s="127">
        <f>s_C*s_EFiw*(1/365)*s_ETiw*(1/24)*Isospec!M21*s_Fin*s_Fi*s_Fam*s_Foff*s_GSFb</f>
        <v>1.9412864013847032E-4</v>
      </c>
      <c r="D22" s="127">
        <f>s_C*s_EFiw*(1/365)*s_ETiw*(1/24)*Isospec!L21*s_Fin*s_Fi*s_Fam*s_Foff*s_GSFb</f>
        <v>1.2051034790704338E-4</v>
      </c>
      <c r="E22" s="127">
        <f>s_C*s_EFiw*(1/365)*s_ETiw*(1/24)*Isospec!N21*s_Fin*s_Fi*s_Fam*s_Foff*s_GSFb</f>
        <v>1.6747108738413244E-4</v>
      </c>
      <c r="F22" s="127">
        <f>s_C*s_EFiw*(1/365)*s_ETiw*(1/24)*Isospec!O21*s_Fin*s_Fi*s_Fam*s_Foff*s_GSFb</f>
        <v>1.7176554190194063E-4</v>
      </c>
      <c r="G22" s="127">
        <f>s_C*s_EFiw*(1/365)*s_ETiw*(1/24)*Isospec!P21*s_Fin*s_Fi*s_Fam*s_Foff*s_GSFb</f>
        <v>1.4894355333778538E-4</v>
      </c>
      <c r="H22" s="2">
        <f>C22*Doses!I20</f>
        <v>9.7064320069235161E-4</v>
      </c>
      <c r="I22" s="3">
        <f>D22*Doses!L20</f>
        <v>6.0255173953521692E-4</v>
      </c>
      <c r="J22" s="3">
        <f>E22*Doses!M20</f>
        <v>8.3735543692066222E-4</v>
      </c>
      <c r="K22" s="3">
        <f>F22*Doses!N20</f>
        <v>8.588277095097031E-4</v>
      </c>
      <c r="L22" s="5">
        <f>G22*Doses!O20</f>
        <v>7.4471776668892696E-4</v>
      </c>
      <c r="M22" s="2">
        <f t="shared" si="35"/>
        <v>3.5913798425617044E-5</v>
      </c>
      <c r="N22" s="3">
        <f t="shared" si="36"/>
        <v>2.2294414362803049E-5</v>
      </c>
      <c r="O22" s="3">
        <f t="shared" si="37"/>
        <v>3.0982151166064532E-5</v>
      </c>
      <c r="P22" s="3">
        <f t="shared" si="38"/>
        <v>3.1776625251859045E-5</v>
      </c>
      <c r="Q22" s="5">
        <f t="shared" si="39"/>
        <v>2.7554557367490324E-5</v>
      </c>
    </row>
    <row r="23" spans="1:17">
      <c r="A23" s="82" t="s">
        <v>39</v>
      </c>
      <c r="B23" s="85" t="s">
        <v>50</v>
      </c>
      <c r="C23" s="127">
        <f>s_C*s_EFiw*(1/365)*s_ETiw*(1/24)*Isospec!M22*s_Fin*s_Fi*s_Fam*s_Foff*s_GSFb</f>
        <v>0</v>
      </c>
      <c r="D23" s="127">
        <f>s_C*s_EFiw*(1/365)*s_ETiw*(1/24)*Isospec!L22*s_Fin*s_Fi*s_Fam*s_Foff*s_GSFb</f>
        <v>0</v>
      </c>
      <c r="E23" s="127">
        <f>s_C*s_EFiw*(1/365)*s_ETiw*(1/24)*Isospec!N22*s_Fin*s_Fi*s_Fam*s_Foff*s_GSFb</f>
        <v>0</v>
      </c>
      <c r="F23" s="127">
        <f>s_C*s_EFiw*(1/365)*s_ETiw*(1/24)*Isospec!O22*s_Fin*s_Fi*s_Fam*s_Foff*s_GSFb</f>
        <v>0</v>
      </c>
      <c r="G23" s="127">
        <f>s_C*s_EFiw*(1/365)*s_ETiw*(1/24)*Isospec!P22*s_Fin*s_Fi*s_Fam*s_Foff*s_GSFb</f>
        <v>0</v>
      </c>
      <c r="H23" s="2">
        <f>C23*Doses!I21</f>
        <v>0</v>
      </c>
      <c r="I23" s="3">
        <f>D23*Doses!L21</f>
        <v>0</v>
      </c>
      <c r="J23" s="3">
        <f>E23*Doses!M21</f>
        <v>0</v>
      </c>
      <c r="K23" s="3">
        <f>F23*Doses!N21</f>
        <v>0</v>
      </c>
      <c r="L23" s="5">
        <f>G23*Doses!O21</f>
        <v>0</v>
      </c>
      <c r="M23" s="2">
        <f t="shared" si="35"/>
        <v>0</v>
      </c>
      <c r="N23" s="3">
        <f t="shared" si="36"/>
        <v>0</v>
      </c>
      <c r="O23" s="3">
        <f t="shared" si="37"/>
        <v>0</v>
      </c>
      <c r="P23" s="3">
        <f t="shared" si="38"/>
        <v>0</v>
      </c>
      <c r="Q23" s="5">
        <f t="shared" si="39"/>
        <v>0</v>
      </c>
    </row>
    <row r="24" spans="1:17">
      <c r="A24" s="82" t="s">
        <v>26</v>
      </c>
      <c r="B24" s="12" t="s">
        <v>50</v>
      </c>
      <c r="C24" s="127">
        <f>s_C*s_EFiw*(1/365)*s_ETiw*(1/24)*Isospec!M23*s_Fin*s_Fi*s_Fam*s_Foff*s_GSFb</f>
        <v>1.0380164975499477</v>
      </c>
      <c r="D24" s="127">
        <f>s_C*s_EFiw*(1/365)*s_ETiw*(1/24)*Isospec!L23*s_Fin*s_Fi*s_Fam*s_Foff*s_GSFb</f>
        <v>0.92387600461084474</v>
      </c>
      <c r="E24" s="127">
        <f>s_C*s_EFiw*(1/365)*s_ETiw*(1/24)*Isospec!N23*s_Fin*s_Fi*s_Fam*s_Foff*s_GSFb</f>
        <v>0.58199190511050225</v>
      </c>
      <c r="F24" s="127">
        <f>s_C*s_EFiw*(1/365)*s_ETiw*(1/24)*Isospec!O23*s_Fin*s_Fi*s_Fam*s_Foff*s_GSFb</f>
        <v>0.61401573131061638</v>
      </c>
      <c r="G24" s="127">
        <f>s_C*s_EFiw*(1/365)*s_ETiw*(1/24)*Isospec!P23*s_Fin*s_Fi*s_Fam*s_Foff*s_GSFb</f>
        <v>0.55695550450079911</v>
      </c>
      <c r="H24" s="2">
        <f>C24*Doses!I22</f>
        <v>5.1900824877497387</v>
      </c>
      <c r="I24" s="3">
        <f>D24*Doses!L22</f>
        <v>4.6193800230542239</v>
      </c>
      <c r="J24" s="3">
        <f>E24*Doses!M22</f>
        <v>2.9099595255525115</v>
      </c>
      <c r="K24" s="3">
        <f>F24*Doses!N22</f>
        <v>3.0700786565530818</v>
      </c>
      <c r="L24" s="5">
        <f>G24*Doses!O22</f>
        <v>2.7847775225039957</v>
      </c>
      <c r="M24" s="2">
        <f t="shared" ref="M24:M25" si="40">IFERROR(H24/s_1_bq,".")</f>
        <v>0.19203305204674054</v>
      </c>
      <c r="N24" s="3">
        <f t="shared" ref="N24:N25" si="41">IFERROR(I24/s_1_bq,".")</f>
        <v>0.17091706085300645</v>
      </c>
      <c r="O24" s="3">
        <f t="shared" ref="O24:O25" si="42">IFERROR(J24/s_1_bq,".")</f>
        <v>0.10766850244544303</v>
      </c>
      <c r="P24" s="3">
        <f t="shared" ref="P24:P25" si="43">IFERROR(K24/s_1_bq,".")</f>
        <v>0.11359291029246414</v>
      </c>
      <c r="Q24" s="5">
        <f t="shared" ref="Q24:Q25" si="44">IFERROR(L24/s_1_bq,".")</f>
        <v>0.10303676833264794</v>
      </c>
    </row>
    <row r="25" spans="1:17">
      <c r="A25" s="83" t="s">
        <v>27</v>
      </c>
      <c r="B25" s="85" t="s">
        <v>44</v>
      </c>
      <c r="C25" s="127">
        <f>s_C*s_EFiw*(1/365)*s_ETiw*(1/24)*Isospec!M24*s_Fin*s_Fi*s_Fam*s_Foff*s_GSFb</f>
        <v>6.3118592438652962E-2</v>
      </c>
      <c r="D25" s="127">
        <f>s_C*s_EFiw*(1/365)*s_ETiw*(1/24)*Isospec!L24*s_Fin*s_Fi*s_Fam*s_Foff*s_GSFb</f>
        <v>1.254441395190677</v>
      </c>
      <c r="E25" s="127">
        <f>s_C*s_EFiw*(1/365)*s_ETiw*(1/24)*Isospec!N24*s_Fin*s_Fi*s_Fam*s_Foff*s_GSFb</f>
        <v>1.6296934316642682</v>
      </c>
      <c r="F25" s="127">
        <f>s_C*s_EFiw*(1/365)*s_ETiw*(1/24)*Isospec!O24*s_Fin*s_Fi*s_Fam*s_Foff*s_GSFb</f>
        <v>1.6009529326587122</v>
      </c>
      <c r="G25" s="127">
        <f>s_C*s_EFiw*(1/365)*s_ETiw*(1/24)*Isospec!P24*s_Fin*s_Fi*s_Fam*s_Foff*s_GSFb</f>
        <v>1.6952900242185605</v>
      </c>
      <c r="H25" s="2">
        <f>C25*Doses!I23</f>
        <v>0.31559296219326483</v>
      </c>
      <c r="I25" s="3">
        <f>D25*Doses!L23</f>
        <v>6.2722069759533845</v>
      </c>
      <c r="J25" s="3">
        <f>E25*Doses!M23</f>
        <v>8.1484671583213402</v>
      </c>
      <c r="K25" s="3">
        <f>F25*Doses!N23</f>
        <v>8.0047646632935603</v>
      </c>
      <c r="L25" s="5">
        <f>G25*Doses!O23</f>
        <v>8.4764501210928032</v>
      </c>
      <c r="M25" s="2">
        <f t="shared" si="40"/>
        <v>1.167693960115081E-2</v>
      </c>
      <c r="N25" s="3">
        <f t="shared" si="41"/>
        <v>0.23207165811027547</v>
      </c>
      <c r="O25" s="3">
        <f t="shared" si="42"/>
        <v>0.3014932848578899</v>
      </c>
      <c r="P25" s="3">
        <f t="shared" si="43"/>
        <v>0.29617629254186201</v>
      </c>
      <c r="Q25" s="5">
        <f t="shared" si="44"/>
        <v>0.31362865448043403</v>
      </c>
    </row>
    <row r="26" spans="1:17">
      <c r="A26" s="82" t="s">
        <v>30</v>
      </c>
      <c r="B26" s="85" t="s">
        <v>50</v>
      </c>
      <c r="C26" s="127">
        <f>s_C*s_EFiw*(1/365)*s_ETiw*(1/24)*Isospec!M25*s_Fin*s_Fi*s_Fam*s_Foff*s_GSFb</f>
        <v>2.1263984919783104E-3</v>
      </c>
      <c r="D26" s="127">
        <f>s_C*s_EFiw*(1/365)*s_ETiw*(1/24)*Isospec!L25*s_Fin*s_Fi*s_Fam*s_Foff*s_GSFb</f>
        <v>1.4833079033515981E-3</v>
      </c>
      <c r="E26" s="127">
        <f>s_C*s_EFiw*(1/365)*s_ETiw*(1/24)*Isospec!N25*s_Fin*s_Fi*s_Fam*s_Foff*s_GSFb</f>
        <v>2.0176361948378995E-3</v>
      </c>
      <c r="F26" s="127">
        <f>s_C*s_EFiw*(1/365)*s_ETiw*(1/24)*Isospec!O25*s_Fin*s_Fi*s_Fam*s_Foff*s_GSFb</f>
        <v>2.2139194126449772E-3</v>
      </c>
      <c r="G26" s="127">
        <f>s_C*s_EFiw*(1/365)*s_ETiw*(1/24)*Isospec!P25*s_Fin*s_Fi*s_Fam*s_Foff*s_GSFb</f>
        <v>1.7480854044349314E-3</v>
      </c>
      <c r="H26" s="2">
        <f>C26*Doses!I24</f>
        <v>1.0631992459891552E-2</v>
      </c>
      <c r="I26" s="3">
        <f>D26*Doses!L24</f>
        <v>7.4165395167579903E-3</v>
      </c>
      <c r="J26" s="3">
        <f>E26*Doses!M24</f>
        <v>1.0088180974189497E-2</v>
      </c>
      <c r="K26" s="3">
        <f>F26*Doses!N24</f>
        <v>1.1069597063224886E-2</v>
      </c>
      <c r="L26" s="5">
        <f>G26*Doses!O24</f>
        <v>8.7404270221746565E-3</v>
      </c>
      <c r="M26" s="2">
        <f t="shared" ref="M26" si="45">IFERROR(H26/s_1_bq,".")</f>
        <v>3.9338372101598782E-4</v>
      </c>
      <c r="N26" s="3">
        <f t="shared" ref="N26" si="46">IFERROR(I26/s_1_bq,".")</f>
        <v>2.7441196212004592E-4</v>
      </c>
      <c r="O26" s="3">
        <f t="shared" ref="O26" si="47">IFERROR(J26/s_1_bq,".")</f>
        <v>3.7326269604501174E-4</v>
      </c>
      <c r="P26" s="3">
        <f t="shared" ref="P26" si="48">IFERROR(K26/s_1_bq,".")</f>
        <v>4.0957509133932116E-4</v>
      </c>
      <c r="Q26" s="5">
        <f t="shared" ref="Q26" si="49">IFERROR(L26/s_1_bq,".")</f>
        <v>3.233957998204626E-4</v>
      </c>
    </row>
    <row r="27" spans="1:17">
      <c r="A27" s="83" t="s">
        <v>31</v>
      </c>
      <c r="B27" s="85" t="s">
        <v>44</v>
      </c>
      <c r="C27" s="127">
        <f>s_C*s_EFiw*(1/365)*s_ETiw*(1/24)*Isospec!M26*s_Fin*s_Fi*s_Fam*s_Foff*s_GSFb</f>
        <v>1.3232002747534247E-3</v>
      </c>
      <c r="D27" s="127">
        <f>s_C*s_EFiw*(1/365)*s_ETiw*(1/24)*Isospec!L26*s_Fin*s_Fi*s_Fam*s_Foff*s_GSFb</f>
        <v>9.3635426727785385E-4</v>
      </c>
      <c r="E27" s="127">
        <f>s_C*s_EFiw*(1/365)*s_ETiw*(1/24)*Isospec!N26*s_Fin*s_Fi*s_Fam*s_Foff*s_GSFb</f>
        <v>1.2244365330158675E-3</v>
      </c>
      <c r="F27" s="127">
        <f>s_C*s_EFiw*(1/365)*s_ETiw*(1/24)*Isospec!O26*s_Fin*s_Fi*s_Fam*s_Foff*s_GSFb</f>
        <v>1.4240730746803651E-3</v>
      </c>
      <c r="G27" s="127">
        <f>s_C*s_EFiw*(1/365)*s_ETiw*(1/24)*Isospec!P26*s_Fin*s_Fi*s_Fam*s_Foff*s_GSFb</f>
        <v>1.3278887707614156E-3</v>
      </c>
      <c r="H27" s="2">
        <f>C27*Doses!I25</f>
        <v>6.6160013737671238E-3</v>
      </c>
      <c r="I27" s="3">
        <f>D27*Doses!L25</f>
        <v>4.6817713363892692E-3</v>
      </c>
      <c r="J27" s="3">
        <f>E27*Doses!M25</f>
        <v>6.1221826650793374E-3</v>
      </c>
      <c r="K27" s="3">
        <f>F27*Doses!N25</f>
        <v>7.1203653734018251E-3</v>
      </c>
      <c r="L27" s="5">
        <f>G27*Doses!O25</f>
        <v>6.6394438538070781E-3</v>
      </c>
      <c r="M27" s="2">
        <f t="shared" ref="M27" si="50">IFERROR(H27/s_1_bq,".")</f>
        <v>2.4479205082938386E-4</v>
      </c>
      <c r="N27" s="3">
        <f t="shared" ref="N27" si="51">IFERROR(I27/s_1_bq,".")</f>
        <v>1.7322553944640312E-4</v>
      </c>
      <c r="O27" s="3">
        <f t="shared" ref="O27" si="52">IFERROR(J27/s_1_bq,".")</f>
        <v>2.2652075860793571E-4</v>
      </c>
      <c r="P27" s="3">
        <f t="shared" ref="P27" si="53">IFERROR(K27/s_1_bq,".")</f>
        <v>2.6345351881586779E-4</v>
      </c>
      <c r="Q27" s="5">
        <f t="shared" ref="Q27" si="54">IFERROR(L27/s_1_bq,".")</f>
        <v>2.4565942259086211E-4</v>
      </c>
    </row>
    <row r="28" spans="1:17">
      <c r="A28" s="82" t="s">
        <v>35</v>
      </c>
      <c r="B28" s="12" t="s">
        <v>50</v>
      </c>
      <c r="C28" s="127">
        <f>s_C*s_EFiw*(1/365)*s_ETiw*(1/24)*Isospec!M27*s_Fin*s_Fi*s_Fam*s_Foff*s_GSFb</f>
        <v>0.84648590333842788</v>
      </c>
      <c r="D28" s="127">
        <f>s_C*s_EFiw*(1/365)*s_ETiw*(1/24)*Isospec!L27*s_Fin*s_Fi*s_Fam*s_Foff*s_GSFb</f>
        <v>4.3839439486358449</v>
      </c>
      <c r="E28" s="127">
        <f>s_C*s_EFiw*(1/365)*s_ETiw*(1/24)*Isospec!N27*s_Fin*s_Fi*s_Fam*s_Foff*s_GSFb</f>
        <v>2.9188469966860731</v>
      </c>
      <c r="F28" s="127">
        <f>s_C*s_EFiw*(1/365)*s_ETiw*(1/24)*Isospec!O27*s_Fin*s_Fi*s_Fam*s_Foff*s_GSFb</f>
        <v>2.943436119199772</v>
      </c>
      <c r="G28" s="127">
        <f>s_C*s_EFiw*(1/365)*s_ETiw*(1/24)*Isospec!P27*s_Fin*s_Fi*s_Fam*s_Foff*s_GSFb</f>
        <v>2.5127193793744294</v>
      </c>
      <c r="H28" s="2">
        <f>C28*Doses!I26</f>
        <v>4.2324295166921395</v>
      </c>
      <c r="I28" s="3">
        <f>D28*Doses!L26</f>
        <v>21.919719743179225</v>
      </c>
      <c r="J28" s="3">
        <f>E28*Doses!M26</f>
        <v>14.594234983430365</v>
      </c>
      <c r="K28" s="3">
        <f>F28*Doses!N26</f>
        <v>14.71718059599886</v>
      </c>
      <c r="L28" s="5">
        <f>G28*Doses!O26</f>
        <v>12.563596896872147</v>
      </c>
      <c r="M28" s="2">
        <f t="shared" ref="M28:M31" si="55">IFERROR(H28/s_1_bq,".")</f>
        <v>0.15659989211760933</v>
      </c>
      <c r="N28" s="3">
        <f t="shared" ref="N28:N31" si="56">IFERROR(I28/s_1_bq,".")</f>
        <v>0.81102963049763221</v>
      </c>
      <c r="O28" s="3">
        <f t="shared" ref="O28:O31" si="57">IFERROR(J28/s_1_bq,".")</f>
        <v>0.53998669438692404</v>
      </c>
      <c r="P28" s="3">
        <f t="shared" ref="P28:P31" si="58">IFERROR(K28/s_1_bq,".")</f>
        <v>0.54453568205195835</v>
      </c>
      <c r="Q28" s="5">
        <f t="shared" ref="Q28:Q31" si="59">IFERROR(L28/s_1_bq,".")</f>
        <v>0.46485308518426988</v>
      </c>
    </row>
    <row r="29" spans="1:17">
      <c r="A29" s="82" t="s">
        <v>40</v>
      </c>
      <c r="B29" s="85" t="s">
        <v>50</v>
      </c>
      <c r="C29" s="127">
        <f>s_C*s_EFiw*(1/365)*s_ETiw*(1/24)*Isospec!M28*s_Fin*s_Fi*s_Fam*s_Foff*s_GSFb</f>
        <v>1.0567973337593608E-3</v>
      </c>
      <c r="D29" s="127">
        <f>s_C*s_EFiw*(1/365)*s_ETiw*(1/24)*Isospec!L28*s_Fin*s_Fi*s_Fam*s_Foff*s_GSFb</f>
        <v>2.3807013728264839E-3</v>
      </c>
      <c r="E29" s="127">
        <f>s_C*s_EFiw*(1/365)*s_ETiw*(1/24)*Isospec!N28*s_Fin*s_Fi*s_Fam*s_Foff*s_GSFb</f>
        <v>1.9257515662100457E-3</v>
      </c>
      <c r="F29" s="127">
        <f>s_C*s_EFiw*(1/365)*s_ETiw*(1/24)*Isospec!O28*s_Fin*s_Fi*s_Fam*s_Foff*s_GSFb</f>
        <v>1.5259635881027397E-3</v>
      </c>
      <c r="G29" s="127">
        <f>s_C*s_EFiw*(1/365)*s_ETiw*(1/24)*Isospec!P28*s_Fin*s_Fi*s_Fam*s_Foff*s_GSFb</f>
        <v>1.5987060728732876E-3</v>
      </c>
      <c r="H29" s="2">
        <f>C29*Doses!I27</f>
        <v>5.2839866687968036E-3</v>
      </c>
      <c r="I29" s="3">
        <f>D29*Doses!L27</f>
        <v>1.190350686413242E-2</v>
      </c>
      <c r="J29" s="3">
        <f>E29*Doses!M27</f>
        <v>9.6287578310502286E-3</v>
      </c>
      <c r="K29" s="3">
        <f>F29*Doses!N27</f>
        <v>7.6298179405136987E-3</v>
      </c>
      <c r="L29" s="5">
        <f>G29*Doses!O27</f>
        <v>7.9935303643664385E-3</v>
      </c>
      <c r="M29" s="2">
        <f t="shared" si="55"/>
        <v>1.9550750674548193E-4</v>
      </c>
      <c r="N29" s="3">
        <f t="shared" si="56"/>
        <v>4.4042975397289995E-4</v>
      </c>
      <c r="O29" s="3">
        <f t="shared" si="57"/>
        <v>3.5626403974885884E-4</v>
      </c>
      <c r="P29" s="3">
        <f t="shared" si="58"/>
        <v>2.8230326379900713E-4</v>
      </c>
      <c r="Q29" s="5">
        <f t="shared" si="59"/>
        <v>2.9576062348155854E-4</v>
      </c>
    </row>
    <row r="30" spans="1:17">
      <c r="A30" s="82" t="s">
        <v>41</v>
      </c>
      <c r="B30" s="12" t="s">
        <v>50</v>
      </c>
      <c r="C30" s="127">
        <f>s_C*s_EFiw*(1/365)*s_ETiw*(1/24)*Isospec!M29*s_Fin*s_Fi*s_Fam*s_Foff*s_GSFb</f>
        <v>4.4810667750913247</v>
      </c>
      <c r="D30" s="127">
        <f>s_C*s_EFiw*(1/365)*s_ETiw*(1/24)*Isospec!L29*s_Fin*s_Fi*s_Fam*s_Foff*s_GSFb</f>
        <v>4.1793600680936072</v>
      </c>
      <c r="E30" s="127">
        <f>s_C*s_EFiw*(1/365)*s_ETiw*(1/24)*Isospec!N29*s_Fin*s_Fi*s_Fam*s_Foff*s_GSFb</f>
        <v>5.112691878136987</v>
      </c>
      <c r="F30" s="127">
        <f>s_C*s_EFiw*(1/365)*s_ETiw*(1/24)*Isospec!O29*s_Fin*s_Fi*s_Fam*s_Foff*s_GSFb</f>
        <v>5.1410441163721465</v>
      </c>
      <c r="G30" s="127">
        <f>s_C*s_EFiw*(1/365)*s_ETiw*(1/24)*Isospec!P29*s_Fin*s_Fi*s_Fam*s_Foff*s_GSFb</f>
        <v>4.4366176089771692</v>
      </c>
      <c r="H30" s="2">
        <f>C30*Doses!I28</f>
        <v>22.405333875456623</v>
      </c>
      <c r="I30" s="3">
        <f>D30*Doses!L28</f>
        <v>20.896800340468037</v>
      </c>
      <c r="J30" s="3">
        <f>E30*Doses!M28</f>
        <v>25.563459390684933</v>
      </c>
      <c r="K30" s="3">
        <f>F30*Doses!N28</f>
        <v>25.705220581860733</v>
      </c>
      <c r="L30" s="5">
        <f>G30*Doses!O28</f>
        <v>22.183088044885846</v>
      </c>
      <c r="M30" s="2">
        <f t="shared" si="55"/>
        <v>0.82899735339189595</v>
      </c>
      <c r="N30" s="3">
        <f t="shared" si="56"/>
        <v>0.7731816125973181</v>
      </c>
      <c r="O30" s="3">
        <f t="shared" si="57"/>
        <v>0.94584799745534354</v>
      </c>
      <c r="P30" s="3">
        <f t="shared" si="58"/>
        <v>0.95109316152884804</v>
      </c>
      <c r="Q30" s="5">
        <f t="shared" si="59"/>
        <v>0.82077425766077716</v>
      </c>
    </row>
    <row r="31" spans="1:17">
      <c r="A31" s="82" t="s">
        <v>42</v>
      </c>
      <c r="B31" s="85" t="s">
        <v>50</v>
      </c>
      <c r="C31" s="127">
        <f>s_C*s_EFiw*(1/365)*s_ETiw*(1/24)*Isospec!M30*s_Fin*s_Fi*s_Fam*s_Foff*s_GSFb</f>
        <v>5.5489579785034238</v>
      </c>
      <c r="D31" s="127">
        <f>s_C*s_EFiw*(1/365)*s_ETiw*(1/24)*Isospec!L30*s_Fin*s_Fi*s_Fam*s_Foff*s_GSFb</f>
        <v>4.5695055501860731</v>
      </c>
      <c r="E31" s="127">
        <f>s_C*s_EFiw*(1/365)*s_ETiw*(1/24)*Isospec!N30*s_Fin*s_Fi*s_Fam*s_Foff*s_GSFb</f>
        <v>5.442835437605023</v>
      </c>
      <c r="F31" s="127">
        <f>s_C*s_EFiw*(1/365)*s_ETiw*(1/24)*Isospec!O30*s_Fin*s_Fi*s_Fam*s_Foff*s_GSFb</f>
        <v>5.5375233820399536</v>
      </c>
      <c r="G31" s="127">
        <f>s_C*s_EFiw*(1/365)*s_ETiw*(1/24)*Isospec!P30*s_Fin*s_Fi*s_Fam*s_Foff*s_GSFb</f>
        <v>4.7349541797865298</v>
      </c>
      <c r="H31" s="2">
        <f>C31*Doses!I29</f>
        <v>27.744789892517119</v>
      </c>
      <c r="I31" s="3">
        <f>D31*Doses!L29</f>
        <v>22.847527750930364</v>
      </c>
      <c r="J31" s="3">
        <f>E31*Doses!M29</f>
        <v>27.214177188025115</v>
      </c>
      <c r="K31" s="3">
        <f>F31*Doses!N29</f>
        <v>27.687616910199768</v>
      </c>
      <c r="L31" s="5">
        <f>G31*Doses!O29</f>
        <v>23.67477089893265</v>
      </c>
      <c r="M31" s="2">
        <f t="shared" si="55"/>
        <v>1.0265572260231344</v>
      </c>
      <c r="N31" s="3">
        <f t="shared" si="56"/>
        <v>0.84535852678442436</v>
      </c>
      <c r="O31" s="3">
        <f t="shared" si="57"/>
        <v>1.0069245559569302</v>
      </c>
      <c r="P31" s="3">
        <f t="shared" si="58"/>
        <v>1.0244418256773924</v>
      </c>
      <c r="Q31" s="5">
        <f t="shared" si="59"/>
        <v>0.87596652326050894</v>
      </c>
    </row>
    <row r="32" spans="1:17" ht="13.5" thickBot="1">
      <c r="A32" s="82" t="s">
        <v>25</v>
      </c>
      <c r="B32" s="12" t="s">
        <v>50</v>
      </c>
      <c r="C32" s="127">
        <f>s_C*s_EFiw*(1/365)*s_ETiw*(1/24)*Isospec!M31*s_Fin*s_Fi*s_Fam*s_Foff*s_GSFb</f>
        <v>0.78575424741830524</v>
      </c>
      <c r="D32" s="127">
        <f>s_C*s_EFiw*(1/365)*s_ETiw*(1/24)*Isospec!L31*s_Fin*s_Fi*s_Fam*s_Foff*s_GSFb</f>
        <v>0.22738111408105025</v>
      </c>
      <c r="E32" s="127">
        <f>s_C*s_EFiw*(1/365)*s_ETiw*(1/24)*Isospec!N31*s_Fin*s_Fi*s_Fam*s_Foff*s_GSFb</f>
        <v>0.11097511651542237</v>
      </c>
      <c r="F32" s="127">
        <f>s_C*s_EFiw*(1/365)*s_ETiw*(1/24)*Isospec!O31*s_Fin*s_Fi*s_Fam*s_Foff*s_GSFb</f>
        <v>0.13506737404931507</v>
      </c>
      <c r="G32" s="127">
        <f>s_C*s_EFiw*(1/365)*s_ETiw*(1/24)*Isospec!P31*s_Fin*s_Fi*s_Fam*s_Foff*s_GSFb</f>
        <v>0.10681335286115297</v>
      </c>
      <c r="H32" s="2">
        <f>C32*Doses!I30</f>
        <v>3.9287712370915262</v>
      </c>
      <c r="I32" s="3">
        <f>D32*Doses!L30</f>
        <v>1.1369055704052513</v>
      </c>
      <c r="J32" s="3">
        <f>E32*Doses!M30</f>
        <v>0.55487558257711189</v>
      </c>
      <c r="K32" s="3">
        <f>F32*Doses!N30</f>
        <v>0.6753368702465754</v>
      </c>
      <c r="L32" s="5">
        <f>G32*Doses!O30</f>
        <v>0.53406676430576483</v>
      </c>
      <c r="M32" s="2">
        <f t="shared" ref="M32" si="60">IFERROR(H32/s_1_bq,".")</f>
        <v>0.14536453577238662</v>
      </c>
      <c r="N32" s="3">
        <f t="shared" ref="N32" si="61">IFERROR(I32/s_1_bq,".")</f>
        <v>4.2065506104994342E-2</v>
      </c>
      <c r="O32" s="3">
        <f t="shared" ref="O32" si="62">IFERROR(J32/s_1_bq,".")</f>
        <v>2.0530396555353162E-2</v>
      </c>
      <c r="P32" s="3">
        <f t="shared" ref="P32" si="63">IFERROR(K32/s_1_bq,".")</f>
        <v>2.4987464199123316E-2</v>
      </c>
      <c r="Q32" s="5">
        <f t="shared" ref="Q32" si="64">IFERROR(L32/s_1_bq,".")</f>
        <v>1.9760470279313318E-2</v>
      </c>
    </row>
    <row r="33" spans="1:17" ht="15">
      <c r="A33" s="104" t="s">
        <v>14</v>
      </c>
      <c r="B33" s="104" t="s">
        <v>50</v>
      </c>
      <c r="C33" s="127"/>
      <c r="D33" s="127"/>
      <c r="E33" s="127"/>
      <c r="F33" s="127"/>
      <c r="G33" s="127"/>
      <c r="H33" s="105">
        <f>SUM(H34:H46)</f>
        <v>34.588468113499886</v>
      </c>
      <c r="I33" s="106">
        <f t="shared" ref="I33:L33" si="65">SUM(I34:I46)</f>
        <v>72.015575372778002</v>
      </c>
      <c r="J33" s="106">
        <f t="shared" si="65"/>
        <v>53.087892155096682</v>
      </c>
      <c r="K33" s="106">
        <f t="shared" si="65"/>
        <v>55.091114630828201</v>
      </c>
      <c r="L33" s="106">
        <f t="shared" si="65"/>
        <v>44.933485413335767</v>
      </c>
      <c r="M33" s="105">
        <f t="shared" ref="M33:M60" si="66">IFERROR(H33/s_1_bq,".")</f>
        <v>1.279773320199497</v>
      </c>
      <c r="N33" s="106">
        <f t="shared" ref="N33:N60" si="67">IFERROR(I33/s_1_bq,".")</f>
        <v>2.6645762887927886</v>
      </c>
      <c r="O33" s="106">
        <f t="shared" ref="O33:O60" si="68">IFERROR(J33/s_1_bq,".")</f>
        <v>1.9642520097385792</v>
      </c>
      <c r="P33" s="106">
        <f t="shared" ref="P33:P60" si="69">IFERROR(K33/s_1_bq,".")</f>
        <v>2.0383712413406454</v>
      </c>
      <c r="Q33" s="107">
        <f t="shared" ref="Q33:Q60" si="70">IFERROR(L33/s_1_bq,".")</f>
        <v>1.6625389602934251</v>
      </c>
    </row>
    <row r="34" spans="1:17" ht="15">
      <c r="A34" s="108" t="s">
        <v>137</v>
      </c>
      <c r="B34" s="109">
        <v>1</v>
      </c>
      <c r="C34" s="127"/>
      <c r="D34" s="127"/>
      <c r="E34" s="127"/>
      <c r="F34" s="127"/>
      <c r="G34" s="127"/>
      <c r="H34" s="110">
        <f>IFERROR(VLOOKUP("Am-241",$A$4:$Q$32,3)*VLOOKUP("Am-241",Doses!$A$1:$O$30,9)*$B34,0)</f>
        <v>2.9408843692865299</v>
      </c>
      <c r="I34" s="122">
        <f>IFERROR(VLOOKUP("Am-241",$A$4:$Q$32,4)*VLOOKUP("Am-241",Doses!$A$1:$O$30,12)*$B34,0)</f>
        <v>6.6763315407573973</v>
      </c>
      <c r="J34" s="122">
        <f>IFERROR(VLOOKUP("Am-241",$A$4:$Q$32,5)*VLOOKUP("Am-241",Doses!$A$1:$O$30,13)*$B34,0)</f>
        <v>6.8764453351355375</v>
      </c>
      <c r="K34" s="122">
        <f>IFERROR(VLOOKUP("Am-241",$A$4:$Q$32,6)*VLOOKUP("Am-241",Doses!$A$1:$O$30,14)*$B34,0)</f>
        <v>6.1959682265514395</v>
      </c>
      <c r="L34" s="122">
        <f>IFERROR(VLOOKUP("Am-241",$A$4:$Q$32,7)*VLOOKUP("Am-241",Doses!$A$1:$O$30,15)*$B34,0)</f>
        <v>3.9745693005260625</v>
      </c>
      <c r="M34" s="110">
        <f t="shared" si="66"/>
        <v>0.10881272166360172</v>
      </c>
      <c r="N34" s="122">
        <f t="shared" si="67"/>
        <v>0.24702426700802396</v>
      </c>
      <c r="O34" s="122">
        <f t="shared" si="68"/>
        <v>0.25442847740001512</v>
      </c>
      <c r="P34" s="122">
        <f t="shared" si="69"/>
        <v>0.22925082438240349</v>
      </c>
      <c r="Q34" s="112">
        <f t="shared" si="70"/>
        <v>0.14705906411946446</v>
      </c>
    </row>
    <row r="35" spans="1:17" ht="15">
      <c r="A35" s="108" t="s">
        <v>138</v>
      </c>
      <c r="B35" s="109">
        <v>1</v>
      </c>
      <c r="C35" s="127"/>
      <c r="D35" s="127"/>
      <c r="E35" s="127"/>
      <c r="F35" s="127"/>
      <c r="G35" s="127"/>
      <c r="H35" s="110">
        <f>IFERROR(VLOOKUP("Np-237",$A$4:$Q$32,3)*VLOOKUP("Np-237",Doses!$A$1:$O$31,9)*$B35,0)</f>
        <v>3.7470745504977163</v>
      </c>
      <c r="I35" s="122">
        <f>IFERROR(VLOOKUP("Np-237",$A$4:$Q$32,4)*VLOOKUP("Np-237",Doses!$A$1:$O$31,12)*$B35,0)</f>
        <v>12.61665123884703</v>
      </c>
      <c r="J35" s="122">
        <f>IFERROR(VLOOKUP("Np-237",$A$4:$Q$32,5)*VLOOKUP("Np-237",Doses!$A$1:$O$31,13)*$B35,0)</f>
        <v>7.3695228589897255</v>
      </c>
      <c r="K35" s="122">
        <f>IFERROR(VLOOKUP("Np-237",$A$4:$Q$32,6)*VLOOKUP("Np-237",Doses!$A$1:$O$31,14)*$B35,0)</f>
        <v>8.3447320593949765</v>
      </c>
      <c r="L35" s="122">
        <f>IFERROR(VLOOKUP("Np-237",$A$4:$Q$32,7)*VLOOKUP("Np-237",Doses!$A$1:$O$31,15)*$B35,0)</f>
        <v>7.0774030627968045</v>
      </c>
      <c r="M35" s="110">
        <f t="shared" si="66"/>
        <v>0.13864175836841564</v>
      </c>
      <c r="N35" s="122">
        <f t="shared" si="67"/>
        <v>0.46681609583734057</v>
      </c>
      <c r="O35" s="122">
        <f t="shared" si="68"/>
        <v>0.27267234578262012</v>
      </c>
      <c r="P35" s="122">
        <f t="shared" si="69"/>
        <v>0.30875508619761444</v>
      </c>
      <c r="Q35" s="112">
        <f t="shared" si="70"/>
        <v>0.26186391332348202</v>
      </c>
    </row>
    <row r="36" spans="1:17" ht="15">
      <c r="A36" s="108" t="s">
        <v>139</v>
      </c>
      <c r="B36" s="109">
        <v>1</v>
      </c>
      <c r="C36" s="127"/>
      <c r="D36" s="127"/>
      <c r="E36" s="127"/>
      <c r="F36" s="127"/>
      <c r="G36" s="127"/>
      <c r="H36" s="110">
        <f>IFERROR(VLOOKUP("Pa-233",$A$4:$Q$32,3)*VLOOKUP("Pa-233",Doses!$A$1:$O$32,9)*$B36,0)</f>
        <v>8.8370996785273963</v>
      </c>
      <c r="I36" s="122">
        <f>IFERROR(VLOOKUP("Pa-233",$A$4:$Q$32,4)*VLOOKUP("Pa-233",Doses!$A$1:$O$32,12)*$B36,0)</f>
        <v>16.116413505399542</v>
      </c>
      <c r="J36" s="122">
        <f>IFERROR(VLOOKUP("Pa-233",$A$4:$Q$32,5)*VLOOKUP("Pa-233",Doses!$A$1:$O$32,13)*$B36,0)</f>
        <v>13.104000935239725</v>
      </c>
      <c r="K36" s="122">
        <f>IFERROR(VLOOKUP("Pa-233",$A$4:$Q$32,6)*VLOOKUP("Pa-233",Doses!$A$1:$O$32,14)*$B36,0)</f>
        <v>14.164185321489725</v>
      </c>
      <c r="L36" s="122">
        <f>IFERROR(VLOOKUP("Pa-233",$A$4:$Q$32,7)*VLOOKUP("Pa-233",Doses!$A$1:$O$32,15)*$B36,0)</f>
        <v>11.258346665901826</v>
      </c>
      <c r="M36" s="110">
        <f t="shared" si="66"/>
        <v>0.326972688105514</v>
      </c>
      <c r="N36" s="122">
        <f t="shared" si="67"/>
        <v>0.59630729969978369</v>
      </c>
      <c r="O36" s="122">
        <f t="shared" si="68"/>
        <v>0.48484803460387033</v>
      </c>
      <c r="P36" s="122">
        <f t="shared" si="69"/>
        <v>0.52407485689512034</v>
      </c>
      <c r="Q36" s="112">
        <f t="shared" si="70"/>
        <v>0.41655882663836796</v>
      </c>
    </row>
    <row r="37" spans="1:17" ht="15">
      <c r="A37" s="108" t="s">
        <v>140</v>
      </c>
      <c r="B37" s="109">
        <v>1</v>
      </c>
      <c r="C37" s="127"/>
      <c r="D37" s="127"/>
      <c r="E37" s="127"/>
      <c r="F37" s="127"/>
      <c r="G37" s="127"/>
      <c r="H37" s="110">
        <f>IFERROR(VLOOKUP("U-233",$A$4:$Q$32,3)*VLOOKUP("U-233",Doses!$A$1:$O$33,9)*$B37,0)</f>
        <v>3.9287712370915262</v>
      </c>
      <c r="I37" s="122">
        <f>IFERROR(VLOOKUP("U-233",$A$4:$Q$32,4)*VLOOKUP("U-233",Doses!$A$1:$O$33,12)*$B37,0)</f>
        <v>1.1369055704052513</v>
      </c>
      <c r="J37" s="122">
        <f>IFERROR(VLOOKUP("U-233",$A$4:$Q$32,5)*VLOOKUP("U-233",Doses!$A$1:$O$33,13)*$B37,0)</f>
        <v>0.55487558257711189</v>
      </c>
      <c r="K37" s="122">
        <f>IFERROR(VLOOKUP("U-233",$A$4:$Q$32,6)*VLOOKUP("U-233",Doses!$A$1:$O$33,14)*$B37,0)</f>
        <v>0.6753368702465754</v>
      </c>
      <c r="L37" s="122">
        <f>IFERROR(VLOOKUP("U-233",$A$4:$Q$32,7)*VLOOKUP("U-233",Doses!$A$1:$O$33,15)*$B37,0)</f>
        <v>0.53406676430576483</v>
      </c>
      <c r="M37" s="110">
        <f t="shared" si="66"/>
        <v>0.14536453577238662</v>
      </c>
      <c r="N37" s="122">
        <f t="shared" si="67"/>
        <v>4.2065506104994342E-2</v>
      </c>
      <c r="O37" s="122">
        <f t="shared" si="68"/>
        <v>2.0530396555353162E-2</v>
      </c>
      <c r="P37" s="122">
        <f t="shared" si="69"/>
        <v>2.4987464199123316E-2</v>
      </c>
      <c r="Q37" s="112">
        <f t="shared" si="70"/>
        <v>1.9760470279313318E-2</v>
      </c>
    </row>
    <row r="38" spans="1:17" ht="15">
      <c r="A38" s="108" t="s">
        <v>141</v>
      </c>
      <c r="B38" s="109">
        <v>1</v>
      </c>
      <c r="C38" s="127"/>
      <c r="D38" s="127"/>
      <c r="E38" s="127"/>
      <c r="F38" s="127"/>
      <c r="G38" s="127"/>
      <c r="H38" s="110">
        <f>IFERROR(VLOOKUP("Th-229",$A$4:$Q$32,3)*VLOOKUP("Th-229",Doses!$A$1:$O$34,9)*$B38,0)</f>
        <v>4.2324295166921395</v>
      </c>
      <c r="I38" s="122">
        <f>IFERROR(VLOOKUP("Th-229",$A$4:$Q$32,4)*VLOOKUP("Th-229",Doses!$A$1:$O$34,12)*$B38,0)</f>
        <v>21.919719743179225</v>
      </c>
      <c r="J38" s="122">
        <f>IFERROR(VLOOKUP("Th-229",$A$4:$Q$32,5)*VLOOKUP("Th-229",Doses!$A$1:$O$34,13)*$B38,0)</f>
        <v>14.594234983430365</v>
      </c>
      <c r="K38" s="122">
        <f>IFERROR(VLOOKUP("Th-229",$A$4:$Q$32,6)*VLOOKUP("Th-229",Doses!$A$1:$O$34,14)*$B38,0)</f>
        <v>14.71718059599886</v>
      </c>
      <c r="L38" s="122">
        <f>IFERROR(VLOOKUP("Th-229",$A$4:$Q$32,7)*VLOOKUP("Th-229",Doses!$A$1:$O$34,15)*$B38,0)</f>
        <v>12.563596896872147</v>
      </c>
      <c r="M38" s="110">
        <f t="shared" si="66"/>
        <v>0.15659989211760933</v>
      </c>
      <c r="N38" s="122">
        <f t="shared" si="67"/>
        <v>0.81102963049763221</v>
      </c>
      <c r="O38" s="122">
        <f t="shared" si="68"/>
        <v>0.53998669438692404</v>
      </c>
      <c r="P38" s="122">
        <f t="shared" si="69"/>
        <v>0.54453568205195835</v>
      </c>
      <c r="Q38" s="112">
        <f t="shared" si="70"/>
        <v>0.46485308518426988</v>
      </c>
    </row>
    <row r="39" spans="1:17" ht="15">
      <c r="A39" s="108" t="s">
        <v>142</v>
      </c>
      <c r="B39" s="109">
        <v>1</v>
      </c>
      <c r="C39" s="127"/>
      <c r="D39" s="127"/>
      <c r="E39" s="127"/>
      <c r="F39" s="127"/>
      <c r="G39" s="127"/>
      <c r="H39" s="110">
        <f>IFERROR(VLOOKUP("Ra-225",$A$4:$Q$32,3)*VLOOKUP("Ra-225",Doses!$A$1:$O$35,9)*$B39,0)</f>
        <v>5.1900824877497387</v>
      </c>
      <c r="I39" s="122">
        <f>IFERROR(VLOOKUP("Ra-225",$A$4:$Q$32,4)*VLOOKUP("Ra-225",Doses!$A$1:$O$35,12)*$B39,0)</f>
        <v>4.6193800230542239</v>
      </c>
      <c r="J39" s="122">
        <f>IFERROR(VLOOKUP("Ra-225",$A$4:$Q$32,5)*VLOOKUP("Ra-225",Doses!$A$1:$O$35,13)*$B39,0)</f>
        <v>2.9099595255525115</v>
      </c>
      <c r="K39" s="122">
        <f>IFERROR(VLOOKUP("Ra-225",$A$4:$Q$32,6)*VLOOKUP("Ra-225",Doses!$A$1:$O$35,14)*$B39,0)</f>
        <v>3.0700786565530818</v>
      </c>
      <c r="L39" s="122">
        <f>IFERROR(VLOOKUP("Ra-225",$A$4:$Q$32,7)*VLOOKUP("Ra-225",Doses!$A$1:$O$35,15)*$B39,0)</f>
        <v>2.7847775225039957</v>
      </c>
      <c r="M39" s="110">
        <f t="shared" si="66"/>
        <v>0.19203305204674054</v>
      </c>
      <c r="N39" s="122">
        <f t="shared" si="67"/>
        <v>0.17091706085300645</v>
      </c>
      <c r="O39" s="122">
        <f t="shared" si="68"/>
        <v>0.10766850244544303</v>
      </c>
      <c r="P39" s="122">
        <f t="shared" si="69"/>
        <v>0.11359291029246414</v>
      </c>
      <c r="Q39" s="112">
        <f t="shared" si="70"/>
        <v>0.10303676833264794</v>
      </c>
    </row>
    <row r="40" spans="1:17" ht="15">
      <c r="A40" s="108" t="s">
        <v>143</v>
      </c>
      <c r="B40" s="109">
        <v>1</v>
      </c>
      <c r="C40" s="127"/>
      <c r="D40" s="127"/>
      <c r="E40" s="127"/>
      <c r="F40" s="127"/>
      <c r="G40" s="127"/>
      <c r="H40" s="110">
        <f>IFERROR(VLOOKUP("Ac-225",$A$4:$Q$32,3)*VLOOKUP("Ac-225",Doses!$A$1:$O$36,9)*$B40,0)</f>
        <v>1.5045013535913243</v>
      </c>
      <c r="I40" s="122">
        <f>IFERROR(VLOOKUP("Ac-225",$A$4:$Q$32,4)*VLOOKUP("Ac-225",Doses!$A$1:$O$36,12)*$B40,0)</f>
        <v>4.7420958566289952</v>
      </c>
      <c r="J40" s="122">
        <f>IFERROR(VLOOKUP("Ac-225",$A$4:$Q$32,5)*VLOOKUP("Ac-225",Doses!$A$1:$O$36,13)*$B40,0)</f>
        <v>2.8529341895108447</v>
      </c>
      <c r="K40" s="122">
        <f>IFERROR(VLOOKUP("Ac-225",$A$4:$Q$32,6)*VLOOKUP("Ac-225",Doses!$A$1:$O$36,14)*$B40,0)</f>
        <v>2.9886344023978313</v>
      </c>
      <c r="L40" s="122">
        <f>IFERROR(VLOOKUP("Ac-225",$A$4:$Q$32,7)*VLOOKUP("Ac-225",Doses!$A$1:$O$36,15)*$B40,0)</f>
        <v>2.5242158142089037</v>
      </c>
      <c r="M40" s="110">
        <f t="shared" si="66"/>
        <v>5.5666550082879053E-2</v>
      </c>
      <c r="N40" s="122">
        <f t="shared" si="67"/>
        <v>0.175457546695273</v>
      </c>
      <c r="O40" s="122">
        <f t="shared" si="68"/>
        <v>0.10555856501190136</v>
      </c>
      <c r="P40" s="122">
        <f t="shared" si="69"/>
        <v>0.11057947288871987</v>
      </c>
      <c r="Q40" s="112">
        <f t="shared" si="70"/>
        <v>9.3395985125729539E-2</v>
      </c>
    </row>
    <row r="41" spans="1:17" ht="15">
      <c r="A41" s="108" t="s">
        <v>144</v>
      </c>
      <c r="B41" s="109">
        <v>1</v>
      </c>
      <c r="C41" s="127"/>
      <c r="D41" s="127"/>
      <c r="E41" s="127"/>
      <c r="F41" s="127"/>
      <c r="G41" s="127"/>
      <c r="H41" s="110">
        <f>IFERROR(VLOOKUP("Fr-221",$A$4:$Q$32,3)*VLOOKUP("Fr-221",Doses!$A$1:$O$37,9)*$B41,0)</f>
        <v>1.1307883474149543</v>
      </c>
      <c r="I41" s="122">
        <f>IFERROR(VLOOKUP("Fr-221",$A$4:$Q$32,4)*VLOOKUP("Fr-221",Doses!$A$1:$O$37,12)*$B41,0)</f>
        <v>1.4757736445393834</v>
      </c>
      <c r="J41" s="122">
        <f>IFERROR(VLOOKUP("Fr-221",$A$4:$Q$32,5)*VLOOKUP("Fr-221",Doses!$A$1:$O$37,13)*$B41,0)</f>
        <v>1.611217146</v>
      </c>
      <c r="K41" s="122">
        <f>IFERROR(VLOOKUP("Fr-221",$A$4:$Q$32,6)*VLOOKUP("Fr-221",Doses!$A$1:$O$37,14)*$B41,0)</f>
        <v>1.499159580724315</v>
      </c>
      <c r="L41" s="122">
        <f>IFERROR(VLOOKUP("Fr-221",$A$4:$Q$32,7)*VLOOKUP("Fr-221",Doses!$A$1:$O$37,15)*$B41,0)</f>
        <v>1.2299156217973746</v>
      </c>
      <c r="M41" s="110">
        <f t="shared" si="66"/>
        <v>4.1839168854353348E-2</v>
      </c>
      <c r="N41" s="122">
        <f t="shared" si="67"/>
        <v>5.4603624847957243E-2</v>
      </c>
      <c r="O41" s="122">
        <f t="shared" si="68"/>
        <v>5.9615034402000062E-2</v>
      </c>
      <c r="P41" s="122">
        <f t="shared" si="69"/>
        <v>5.5468904486799711E-2</v>
      </c>
      <c r="Q41" s="112">
        <f t="shared" si="70"/>
        <v>4.5506878006502903E-2</v>
      </c>
    </row>
    <row r="42" spans="1:17" ht="15">
      <c r="A42" s="108" t="s">
        <v>145</v>
      </c>
      <c r="B42" s="109">
        <v>1</v>
      </c>
      <c r="C42" s="127"/>
      <c r="D42" s="127"/>
      <c r="E42" s="127"/>
      <c r="F42" s="127"/>
      <c r="G42" s="127"/>
      <c r="H42" s="110">
        <f>IFERROR(VLOOKUP("At-217",$A$4:$Q$32,3)*VLOOKUP("At-217",Doses!$A$1:$O$38,9)*$B42,0)</f>
        <v>7.9655713204908676E-3</v>
      </c>
      <c r="I42" s="122">
        <f>IFERROR(VLOOKUP("At-217",$A$4:$Q$32,4)*VLOOKUP("At-217",Doses!$A$1:$O$38,12)*$B42,0)</f>
        <v>9.3147771950285382E-3</v>
      </c>
      <c r="J42" s="122">
        <f>IFERROR(VLOOKUP("At-217",$A$4:$Q$32,5)*VLOOKUP("At-217",Doses!$A$1:$O$38,13)*$B42,0)</f>
        <v>9.8472603337442927E-3</v>
      </c>
      <c r="K42" s="122">
        <f>IFERROR(VLOOKUP("At-217",$A$4:$Q$32,6)*VLOOKUP("At-217",Doses!$A$1:$O$38,14)*$B42,0)</f>
        <v>9.394071992990867E-3</v>
      </c>
      <c r="L42" s="122">
        <f>IFERROR(VLOOKUP("At-217",$A$4:$Q$32,7)*VLOOKUP("At-217",Doses!$A$1:$O$38,15)*$B42,0)</f>
        <v>8.4170936045091325E-3</v>
      </c>
      <c r="M42" s="110">
        <f t="shared" si="66"/>
        <v>2.9472613885816242E-4</v>
      </c>
      <c r="N42" s="122">
        <f t="shared" si="67"/>
        <v>3.4464675621605624E-4</v>
      </c>
      <c r="O42" s="122">
        <f t="shared" si="68"/>
        <v>3.6434863234853922E-4</v>
      </c>
      <c r="P42" s="122">
        <f t="shared" si="69"/>
        <v>3.4758066374066242E-4</v>
      </c>
      <c r="Q42" s="112">
        <f t="shared" si="70"/>
        <v>3.1143246336683822E-4</v>
      </c>
    </row>
    <row r="43" spans="1:17" ht="15">
      <c r="A43" s="108" t="s">
        <v>146</v>
      </c>
      <c r="B43" s="113">
        <v>0.99987999999999999</v>
      </c>
      <c r="C43" s="127"/>
      <c r="D43" s="127"/>
      <c r="E43" s="127"/>
      <c r="F43" s="127"/>
      <c r="G43" s="127"/>
      <c r="H43" s="110">
        <f>IFERROR(VLOOKUP("Bi-213",$A$4:$Q$32,3)*VLOOKUP("Bi-213",Doses!$A$1:$O$39,9)*$B43,0)</f>
        <v>2.6002145779885599</v>
      </c>
      <c r="I43" s="122">
        <f>IFERROR(VLOOKUP("Bi-213",$A$4:$Q$32,4)*VLOOKUP("Bi-213",Doses!$A$1:$O$39,12)*$B43,0)</f>
        <v>2.2660132702102822</v>
      </c>
      <c r="J43" s="122">
        <f>IFERROR(VLOOKUP("Bi-213",$A$4:$Q$32,5)*VLOOKUP("Bi-213",Doses!$A$1:$O$39,13)*$B43,0)</f>
        <v>2.6702532643289589</v>
      </c>
      <c r="K43" s="122">
        <f>IFERROR(VLOOKUP("Bi-213",$A$4:$Q$32,6)*VLOOKUP("Bi-213",Doses!$A$1:$O$39,14)*$B43,0)</f>
        <v>2.8888713412218712</v>
      </c>
      <c r="L43" s="122">
        <f>IFERROR(VLOOKUP("Bi-213",$A$4:$Q$32,7)*VLOOKUP("Bi-213",Doses!$A$1:$O$39,15)*$B43,0)</f>
        <v>2.514262494612268</v>
      </c>
      <c r="M43" s="110">
        <f t="shared" si="66"/>
        <v>9.6207939385576813E-2</v>
      </c>
      <c r="N43" s="122">
        <f t="shared" si="67"/>
        <v>8.384249099778053E-2</v>
      </c>
      <c r="O43" s="122">
        <f t="shared" si="68"/>
        <v>9.8799370780171578E-2</v>
      </c>
      <c r="P43" s="122">
        <f t="shared" si="69"/>
        <v>0.10688823962520934</v>
      </c>
      <c r="Q43" s="112">
        <f t="shared" si="70"/>
        <v>9.3027712300654014E-2</v>
      </c>
    </row>
    <row r="44" spans="1:17" ht="15">
      <c r="A44" s="108" t="s">
        <v>147</v>
      </c>
      <c r="B44" s="109">
        <v>0.97898250799999997</v>
      </c>
      <c r="C44" s="127"/>
      <c r="D44" s="127"/>
      <c r="E44" s="127"/>
      <c r="F44" s="127"/>
      <c r="G44" s="127"/>
      <c r="H44" s="110">
        <f>IFERROR(VLOOKUP("Po-213",$A$4:$Q$32,3)*VLOOKUP("Po-213",Doses!$A$1:$O$40,9)*$B44,0)</f>
        <v>4.4113791982650281E-4</v>
      </c>
      <c r="I44" s="122">
        <f>IFERROR(VLOOKUP("Po-213",$A$4:$Q$32,4)*VLOOKUP("Po-213",Doses!$A$1:$O$40,12)*$B44,0)</f>
        <v>2.8548462110856526E-4</v>
      </c>
      <c r="J44" s="122">
        <f>IFERROR(VLOOKUP("Po-213",$A$4:$Q$32,5)*VLOOKUP("Po-213",Doses!$A$1:$O$40,13)*$B44,0)</f>
        <v>3.8888588899882849E-4</v>
      </c>
      <c r="K44" s="122">
        <f>IFERROR(VLOOKUP("Po-213",$A$4:$Q$32,6)*VLOOKUP("Po-213",Doses!$A$1:$O$40,14)*$B44,0)</f>
        <v>3.9886278886057961E-4</v>
      </c>
      <c r="L44" s="122">
        <f>IFERROR(VLOOKUP("Po-213",$A$4:$Q$32,7)*VLOOKUP("Po-213",Doses!$A$1:$O$40,15)*$B44,0)</f>
        <v>3.4327125281416671E-4</v>
      </c>
      <c r="M44" s="110">
        <f t="shared" si="66"/>
        <v>1.632210303358062E-5</v>
      </c>
      <c r="N44" s="122">
        <f t="shared" si="67"/>
        <v>1.0562930981016926E-5</v>
      </c>
      <c r="O44" s="122">
        <f t="shared" si="68"/>
        <v>1.4388777892956669E-5</v>
      </c>
      <c r="P44" s="122">
        <f t="shared" si="69"/>
        <v>1.475792318784146E-5</v>
      </c>
      <c r="Q44" s="112">
        <f t="shared" si="70"/>
        <v>1.2701036354124181E-5</v>
      </c>
    </row>
    <row r="45" spans="1:17" ht="15">
      <c r="A45" s="108" t="s">
        <v>148</v>
      </c>
      <c r="B45" s="109">
        <v>2.0897492E-2</v>
      </c>
      <c r="C45" s="127"/>
      <c r="D45" s="127"/>
      <c r="E45" s="127"/>
      <c r="F45" s="127"/>
      <c r="G45" s="127"/>
      <c r="H45" s="110">
        <f>IFERROR(VLOOKUP("Tl-209",$A$4:$Q$32,3)*VLOOKUP("Tl-209",Doses!$A$1:$O$41,9)*$B45,0)</f>
        <v>0.46821528541968377</v>
      </c>
      <c r="I45" s="122">
        <f>IFERROR(VLOOKUP("Tl-209",$A$4:$Q$32,4)*VLOOKUP("Tl-209",Doses!$A$1:$O$41,12)*$B45,0)</f>
        <v>0.43669071794052805</v>
      </c>
      <c r="J45" s="122">
        <f>IFERROR(VLOOKUP("Tl-209",$A$4:$Q$32,5)*VLOOKUP("Tl-209",Doses!$A$1:$O$41,13)*$B45,0)</f>
        <v>0.53421218810916327</v>
      </c>
      <c r="K45" s="122">
        <f>IFERROR(VLOOKUP("Tl-209",$A$4:$Q$32,6)*VLOOKUP("Tl-209",Doses!$A$1:$O$41,14)*$B45,0)</f>
        <v>0.53717464146767002</v>
      </c>
      <c r="L45" s="122">
        <f>IFERROR(VLOOKUP("Tl-209",$A$4:$Q$32,7)*VLOOKUP("Tl-209",Doses!$A$1:$O$41,15)*$B45,0)</f>
        <v>0.46357090495329761</v>
      </c>
      <c r="M45" s="110">
        <f t="shared" si="66"/>
        <v>1.7323965560528318E-2</v>
      </c>
      <c r="N45" s="122">
        <f t="shared" si="67"/>
        <v>1.6157556563799556E-2</v>
      </c>
      <c r="O45" s="122">
        <f t="shared" si="68"/>
        <v>1.976585096003906E-2</v>
      </c>
      <c r="P45" s="122">
        <f t="shared" si="69"/>
        <v>1.9875461734303809E-2</v>
      </c>
      <c r="Q45" s="112">
        <f t="shared" si="70"/>
        <v>1.7152123483272028E-2</v>
      </c>
    </row>
    <row r="46" spans="1:17" ht="15">
      <c r="A46" s="108" t="s">
        <v>149</v>
      </c>
      <c r="B46" s="109">
        <v>0.99987999999999999</v>
      </c>
      <c r="C46" s="127"/>
      <c r="D46" s="127"/>
      <c r="E46" s="127"/>
      <c r="F46" s="127"/>
      <c r="G46" s="127"/>
      <c r="H46" s="110">
        <f>IFERROR(VLOOKUP("Pb-209",$A$4:$Q$32,3)*VLOOKUP("Pb-209",Doses!$A$1:$O$42,9)*$B46,0)</f>
        <v>0</v>
      </c>
      <c r="I46" s="122">
        <f>IFERROR(VLOOKUP("Pb-209",$A$4:$Q$32,4)*VLOOKUP("Pb-209",Doses!$A$1:$O$42,12)*$B46,0)</f>
        <v>0</v>
      </c>
      <c r="J46" s="122">
        <f>IFERROR(VLOOKUP("Pb-209",$A$4:$Q$32,5)*VLOOKUP("Pb-209",Doses!$A$1:$O$42,13)*$B46,0)</f>
        <v>0</v>
      </c>
      <c r="K46" s="122">
        <f>IFERROR(VLOOKUP("Pb-209",$A$4:$Q$32,6)*VLOOKUP("Pb-209",Doses!$A$1:$O$42,14)*$B46,0)</f>
        <v>0</v>
      </c>
      <c r="L46" s="122">
        <f>IFERROR(VLOOKUP("Pb-209",$A$4:$Q$32,7)*VLOOKUP("Pb-209",Doses!$A$1:$O$42,15)*$B46,0)</f>
        <v>0</v>
      </c>
      <c r="M46" s="110">
        <f t="shared" si="66"/>
        <v>0</v>
      </c>
      <c r="N46" s="122">
        <f t="shared" si="67"/>
        <v>0</v>
      </c>
      <c r="O46" s="122">
        <f t="shared" si="68"/>
        <v>0</v>
      </c>
      <c r="P46" s="122">
        <f t="shared" si="69"/>
        <v>0</v>
      </c>
      <c r="Q46" s="112">
        <f t="shared" si="70"/>
        <v>0</v>
      </c>
    </row>
    <row r="47" spans="1:17" ht="15">
      <c r="A47" s="104" t="s">
        <v>17</v>
      </c>
      <c r="B47" s="104" t="s">
        <v>50</v>
      </c>
      <c r="C47" s="127"/>
      <c r="D47" s="127"/>
      <c r="E47" s="127"/>
      <c r="F47" s="127"/>
      <c r="G47" s="127"/>
      <c r="H47" s="114">
        <f>SUM(H48:H49)</f>
        <v>7.4616579296578003</v>
      </c>
      <c r="I47" s="121">
        <f t="shared" ref="I47:L47" si="71">SUM(I48:I49)</f>
        <v>12.529682695629299</v>
      </c>
      <c r="J47" s="121">
        <f t="shared" si="71"/>
        <v>16.083010261458647</v>
      </c>
      <c r="K47" s="121">
        <f t="shared" si="71"/>
        <v>16.245496265462272</v>
      </c>
      <c r="L47" s="121">
        <f t="shared" si="71"/>
        <v>17.749926643510989</v>
      </c>
      <c r="M47" s="114">
        <f t="shared" si="66"/>
        <v>0.27608134339733886</v>
      </c>
      <c r="N47" s="121">
        <f t="shared" si="67"/>
        <v>0.46359825973828456</v>
      </c>
      <c r="O47" s="121">
        <f t="shared" si="68"/>
        <v>0.5950713796739705</v>
      </c>
      <c r="P47" s="121">
        <f t="shared" si="69"/>
        <v>0.60108336182210464</v>
      </c>
      <c r="Q47" s="116">
        <f t="shared" si="70"/>
        <v>0.65674728580990727</v>
      </c>
    </row>
    <row r="48" spans="1:17" ht="15">
      <c r="A48" s="108" t="s">
        <v>150</v>
      </c>
      <c r="B48" s="109">
        <v>1</v>
      </c>
      <c r="C48" s="127"/>
      <c r="D48" s="127"/>
      <c r="E48" s="127"/>
      <c r="F48" s="127"/>
      <c r="G48" s="127"/>
      <c r="H48" s="110">
        <f>IFERROR(VLOOKUP("Cs-137",$A$4:$Q$32,3)*VLOOKUP("Cs-137",Doses!$A$1:$O$40,9)*$B48,0)</f>
        <v>4.9202035343321912E-5</v>
      </c>
      <c r="I48" s="122">
        <f>IFERROR(VLOOKUP("Cs-137",$A$4:$Q$32,4)*VLOOKUP("Cs-137",Doses!$A$1:$O$40,12)*$B48,0)</f>
        <v>7.0646730439713066</v>
      </c>
      <c r="J48" s="122">
        <f>IFERROR(VLOOKUP("Cs-137",$A$4:$Q$32,5)*VLOOKUP("Cs-137",Doses!$A$1:$O$40,13)*$B48,0)</f>
        <v>8.9118715139832414</v>
      </c>
      <c r="K48" s="122">
        <f>IFERROR(VLOOKUP("Cs-137",$A$4:$Q$32,6)*VLOOKUP("Cs-137",Doses!$A$1:$O$40,14)*$B48,0)</f>
        <v>8.5133987005938199</v>
      </c>
      <c r="L48" s="122">
        <f>IFERROR(VLOOKUP("Cs-137",$A$4:$Q$32,7)*VLOOKUP("Cs-137",Doses!$A$1:$O$40,15)*$B48,0)</f>
        <v>11.593070063061981</v>
      </c>
      <c r="M48" s="110">
        <f t="shared" si="66"/>
        <v>1.8204753077029125E-6</v>
      </c>
      <c r="N48" s="122">
        <f t="shared" si="67"/>
        <v>0.26139290262693859</v>
      </c>
      <c r="O48" s="122">
        <f t="shared" si="68"/>
        <v>0.32973924601738025</v>
      </c>
      <c r="P48" s="122">
        <f t="shared" si="69"/>
        <v>0.31499575192197166</v>
      </c>
      <c r="Q48" s="112">
        <f t="shared" si="70"/>
        <v>0.42894359233329377</v>
      </c>
    </row>
    <row r="49" spans="1:17" ht="15">
      <c r="A49" s="108" t="s">
        <v>151</v>
      </c>
      <c r="B49" s="109">
        <v>0.94399</v>
      </c>
      <c r="C49" s="127"/>
      <c r="D49" s="127"/>
      <c r="E49" s="127"/>
      <c r="F49" s="127"/>
      <c r="G49" s="127"/>
      <c r="H49" s="110">
        <f>IFERROR(VLOOKUP("Ba-137m",$A$4:$Q$32,3)*VLOOKUP("Ba-137m",Doses!$A$1:$O$40,9)*$B49,0)</f>
        <v>7.4616087276224565</v>
      </c>
      <c r="I49" s="122">
        <f>IFERROR(VLOOKUP("Ba-137m",$A$4:$Q$32,4)*VLOOKUP("Ba-137m",Doses!$A$1:$O$40,12)*$B49,0)</f>
        <v>5.4650096516579927</v>
      </c>
      <c r="J49" s="122">
        <f>IFERROR(VLOOKUP("Ba-137m",$A$4:$Q$32,5)*VLOOKUP("Ba-137m",Doses!$A$1:$O$40,13)*$B49,0)</f>
        <v>7.1711387474754069</v>
      </c>
      <c r="K49" s="122">
        <f>IFERROR(VLOOKUP("Ba-137m",$A$4:$Q$32,6)*VLOOKUP("Ba-137m",Doses!$A$1:$O$40,14)*$B49,0)</f>
        <v>7.7320975648684511</v>
      </c>
      <c r="L49" s="122">
        <f>IFERROR(VLOOKUP("Ba-137m",$A$4:$Q$32,7)*VLOOKUP("Ba-137m",Doses!$A$1:$O$40,15)*$B49,0)</f>
        <v>6.1568565804490065</v>
      </c>
      <c r="M49" s="110">
        <f t="shared" si="66"/>
        <v>0.2760795229220312</v>
      </c>
      <c r="N49" s="122">
        <f t="shared" si="67"/>
        <v>0.20220535711134593</v>
      </c>
      <c r="O49" s="122">
        <f t="shared" si="68"/>
        <v>0.26533213365659031</v>
      </c>
      <c r="P49" s="122">
        <f t="shared" si="69"/>
        <v>0.28608760990013299</v>
      </c>
      <c r="Q49" s="112">
        <f t="shared" si="70"/>
        <v>0.22780369347661347</v>
      </c>
    </row>
    <row r="50" spans="1:17" ht="15">
      <c r="A50" s="104" t="s">
        <v>27</v>
      </c>
      <c r="B50" s="104" t="s">
        <v>50</v>
      </c>
      <c r="C50" s="127"/>
      <c r="D50" s="127"/>
      <c r="E50" s="127"/>
      <c r="F50" s="127"/>
      <c r="G50" s="127"/>
      <c r="H50" s="114">
        <f>SUM(H51:H64)</f>
        <v>20.399910554537943</v>
      </c>
      <c r="I50" s="121">
        <f>SUM(I51:I64)</f>
        <v>28.313355209482527</v>
      </c>
      <c r="J50" s="121">
        <f>SUM(J51:J64)</f>
        <v>30.372643388270998</v>
      </c>
      <c r="K50" s="121">
        <f>SUM(K51:K64)</f>
        <v>30.494822974723014</v>
      </c>
      <c r="L50" s="121">
        <f>SUM(L51:L64)</f>
        <v>27.738510500846481</v>
      </c>
      <c r="M50" s="114">
        <f t="shared" si="66"/>
        <v>0.75479669051790466</v>
      </c>
      <c r="N50" s="121">
        <f t="shared" si="67"/>
        <v>1.0475941427508546</v>
      </c>
      <c r="O50" s="121">
        <f t="shared" si="68"/>
        <v>1.123787805366028</v>
      </c>
      <c r="P50" s="121">
        <f t="shared" si="69"/>
        <v>1.1283084500647527</v>
      </c>
      <c r="Q50" s="116">
        <f t="shared" si="70"/>
        <v>1.0263248885313208</v>
      </c>
    </row>
    <row r="51" spans="1:17" ht="15">
      <c r="A51" s="108" t="s">
        <v>152</v>
      </c>
      <c r="B51" s="109">
        <v>1</v>
      </c>
      <c r="C51" s="127"/>
      <c r="D51" s="127"/>
      <c r="E51" s="127"/>
      <c r="F51" s="127"/>
      <c r="G51" s="127"/>
      <c r="H51" s="110">
        <f>IFERROR(VLOOKUP("Ra-226",$A$4:$Q$32,3)*VLOOKUP("Ra-226",Doses!$A$1:$O$40,9)*$B51,0)</f>
        <v>0.31559296219326483</v>
      </c>
      <c r="I51" s="122">
        <f>IFERROR(VLOOKUP("Ra-226",$A$4:$Q$32,4)*VLOOKUP("Ra-226",Doses!$A$1:$O$40,12)*$B51,0)</f>
        <v>6.2722069759533845</v>
      </c>
      <c r="J51" s="122">
        <f>IFERROR(VLOOKUP("Ra-226",$A$4:$Q$32,5)*VLOOKUP("Ra-226",Doses!$A$1:$O$40,13)*$B51,0)</f>
        <v>8.1484671583213402</v>
      </c>
      <c r="K51" s="122">
        <f>IFERROR(VLOOKUP("Ra-226",$A$4:$Q$32,6)*VLOOKUP("Ra-226",Doses!$A$1:$O$40,14)*$B51,0)</f>
        <v>8.0047646632935603</v>
      </c>
      <c r="L51" s="122">
        <f>IFERROR(VLOOKUP("Ra-226",$A$4:$Q$32,7)*VLOOKUP("Ra-226",Doses!$A$1:$O$40,15)*$B51,0)</f>
        <v>8.4764501210928032</v>
      </c>
      <c r="M51" s="110">
        <f t="shared" si="66"/>
        <v>1.167693960115081E-2</v>
      </c>
      <c r="N51" s="122">
        <f t="shared" si="67"/>
        <v>0.23207165811027547</v>
      </c>
      <c r="O51" s="122">
        <f t="shared" si="68"/>
        <v>0.3014932848578899</v>
      </c>
      <c r="P51" s="122">
        <f t="shared" si="69"/>
        <v>0.29617629254186201</v>
      </c>
      <c r="Q51" s="112">
        <f t="shared" si="70"/>
        <v>0.31362865448043403</v>
      </c>
    </row>
    <row r="52" spans="1:17" ht="15">
      <c r="A52" s="108" t="s">
        <v>153</v>
      </c>
      <c r="B52" s="109">
        <v>1</v>
      </c>
      <c r="C52" s="127"/>
      <c r="D52" s="127"/>
      <c r="E52" s="127"/>
      <c r="F52" s="127"/>
      <c r="G52" s="127"/>
      <c r="H52" s="110">
        <f>IFERROR(VLOOKUP("Rn-222",$A$4:$Q$32,3)*VLOOKUP("Rn-222",Doses!$A$1:$O$40,9)*$B52,0)</f>
        <v>6.6160013737671238E-3</v>
      </c>
      <c r="I52" s="122">
        <f>IFERROR(VLOOKUP("Rn-222",$A$4:$Q$32,4)*VLOOKUP("Rn-222",Doses!$A$1:$O$40,12)*$B52,0)</f>
        <v>4.6817713363892692E-3</v>
      </c>
      <c r="J52" s="122">
        <f>IFERROR(VLOOKUP("Rn-222",$A$4:$Q$32,5)*VLOOKUP("Rn-222",Doses!$A$1:$O$40,13)*$B52,0)</f>
        <v>6.1221826650793374E-3</v>
      </c>
      <c r="K52" s="122">
        <f>IFERROR(VLOOKUP("Rn-222",$A$4:$Q$32,6)*VLOOKUP("Rn-222",Doses!$A$1:$O$40,14)*$B52,0)</f>
        <v>7.1203653734018251E-3</v>
      </c>
      <c r="L52" s="122">
        <f>IFERROR(VLOOKUP("Rn-222",$A$4:$Q$32,7)*VLOOKUP("Rn-222",Doses!$A$1:$O$40,15)*$B52,0)</f>
        <v>6.6394438538070781E-3</v>
      </c>
      <c r="M52" s="110">
        <f t="shared" si="66"/>
        <v>2.4479205082938386E-4</v>
      </c>
      <c r="N52" s="122">
        <f t="shared" si="67"/>
        <v>1.7322553944640312E-4</v>
      </c>
      <c r="O52" s="122">
        <f t="shared" si="68"/>
        <v>2.2652075860793571E-4</v>
      </c>
      <c r="P52" s="122">
        <f t="shared" si="69"/>
        <v>2.6345351881586779E-4</v>
      </c>
      <c r="Q52" s="112">
        <f t="shared" si="70"/>
        <v>2.4565942259086211E-4</v>
      </c>
    </row>
    <row r="53" spans="1:17" ht="15">
      <c r="A53" s="108" t="s">
        <v>154</v>
      </c>
      <c r="B53" s="109">
        <v>1</v>
      </c>
      <c r="C53" s="127"/>
      <c r="D53" s="127"/>
      <c r="E53" s="127"/>
      <c r="F53" s="127"/>
      <c r="G53" s="127"/>
      <c r="H53" s="110">
        <f>IFERROR(VLOOKUP("Po-218",$A$4:$Q$32,3)*VLOOKUP("Po-218",Doses!$A$1:$O$40,9)*$B53,0)</f>
        <v>0</v>
      </c>
      <c r="I53" s="122">
        <f>IFERROR(VLOOKUP("Po-218",$A$4:$Q$32,4)*VLOOKUP("Po-218",Doses!$A$1:$O$40,12)*$B53,0)</f>
        <v>0</v>
      </c>
      <c r="J53" s="122">
        <f>IFERROR(VLOOKUP("Po-218",$A$4:$Q$32,5)*VLOOKUP("Po-218",Doses!$A$1:$O$40,13)*$B53,0)</f>
        <v>0</v>
      </c>
      <c r="K53" s="122">
        <f>IFERROR(VLOOKUP("Po-218",$A$4:$Q$32,6)*VLOOKUP("Po-218",Doses!$A$1:$O$40,14)*$B53,0)</f>
        <v>0</v>
      </c>
      <c r="L53" s="122">
        <f>IFERROR(VLOOKUP("Po-218",$A$4:$Q$32,7)*VLOOKUP("Po-218",Doses!$A$1:$O$40,15)*$B53,0)</f>
        <v>0</v>
      </c>
      <c r="M53" s="110">
        <f t="shared" si="66"/>
        <v>0</v>
      </c>
      <c r="N53" s="122">
        <f t="shared" si="67"/>
        <v>0</v>
      </c>
      <c r="O53" s="122">
        <f t="shared" si="68"/>
        <v>0</v>
      </c>
      <c r="P53" s="122">
        <f t="shared" si="69"/>
        <v>0</v>
      </c>
      <c r="Q53" s="112">
        <f t="shared" si="70"/>
        <v>0</v>
      </c>
    </row>
    <row r="54" spans="1:17" ht="15">
      <c r="A54" s="108" t="s">
        <v>156</v>
      </c>
      <c r="B54" s="109">
        <v>2.0000000000000001E-4</v>
      </c>
      <c r="C54" s="127"/>
      <c r="D54" s="127"/>
      <c r="E54" s="127"/>
      <c r="F54" s="127"/>
      <c r="G54" s="127"/>
      <c r="H54" s="110">
        <f>IFERROR(VLOOKUP("At-218",$A$4:$Q$32,3)*VLOOKUP("At-218",Doses!$A$1:$O$40,9)*$B54,0)</f>
        <v>0</v>
      </c>
      <c r="I54" s="122">
        <f>IFERROR(VLOOKUP("At-218",$A$4:$Q$32,4)*VLOOKUP("At-218",Doses!$A$1:$O$40,12)*$B54,0)</f>
        <v>0</v>
      </c>
      <c r="J54" s="122">
        <f>IFERROR(VLOOKUP("At-218",$A$4:$Q$32,5)*VLOOKUP("At-218",Doses!$A$1:$O$40,13)*$B54,0)</f>
        <v>0</v>
      </c>
      <c r="K54" s="122">
        <f>IFERROR(VLOOKUP("At-218",$A$4:$Q$32,6)*VLOOKUP("At-218",Doses!$A$1:$O$40,14)*$B54,0)</f>
        <v>0</v>
      </c>
      <c r="L54" s="122">
        <f>IFERROR(VLOOKUP("At-218",$A$4:$Q$32,7)*VLOOKUP("At-218",Doses!$A$1:$O$40,15)*$B54,0)</f>
        <v>0</v>
      </c>
      <c r="M54" s="110">
        <f t="shared" si="66"/>
        <v>0</v>
      </c>
      <c r="N54" s="122">
        <f t="shared" si="67"/>
        <v>0</v>
      </c>
      <c r="O54" s="122">
        <f t="shared" si="68"/>
        <v>0</v>
      </c>
      <c r="P54" s="122">
        <f t="shared" si="69"/>
        <v>0</v>
      </c>
      <c r="Q54" s="112">
        <f t="shared" si="70"/>
        <v>0</v>
      </c>
    </row>
    <row r="55" spans="1:17" ht="15">
      <c r="A55" s="108" t="s">
        <v>158</v>
      </c>
      <c r="B55" s="109">
        <v>1.9999999999999999E-7</v>
      </c>
      <c r="C55" s="127"/>
      <c r="D55" s="127"/>
      <c r="E55" s="127"/>
      <c r="F55" s="127"/>
      <c r="G55" s="127"/>
      <c r="H55" s="110">
        <f>IFERROR(VLOOKUP("Rn-218",$A$4:$Q$32,3)*VLOOKUP("Rn-218",Doses!$A$1:$O$40,9)*$B55,0)</f>
        <v>2.1263984919783101E-9</v>
      </c>
      <c r="I55" s="122">
        <f>IFERROR(VLOOKUP("Rn-218",$A$4:$Q$32,4)*VLOOKUP("Rn-218",Doses!$A$1:$O$40,12)*$B55,0)</f>
        <v>1.483307903351598E-9</v>
      </c>
      <c r="J55" s="122">
        <f>IFERROR(VLOOKUP("Rn-218",$A$4:$Q$32,5)*VLOOKUP("Rn-218",Doses!$A$1:$O$40,13)*$B55,0)</f>
        <v>2.0176361948378993E-9</v>
      </c>
      <c r="K55" s="122">
        <f>IFERROR(VLOOKUP("Rn-218",$A$4:$Q$32,6)*VLOOKUP("Rn-218",Doses!$A$1:$O$40,14)*$B55,0)</f>
        <v>2.2139194126449772E-9</v>
      </c>
      <c r="L55" s="122">
        <f>IFERROR(VLOOKUP("Rn-218",$A$4:$Q$32,7)*VLOOKUP("Rn-218",Doses!$A$1:$O$40,15)*$B55,0)</f>
        <v>1.7480854044349312E-9</v>
      </c>
      <c r="M55" s="110">
        <f t="shared" si="66"/>
        <v>7.8676744203197552E-11</v>
      </c>
      <c r="N55" s="122">
        <f t="shared" si="67"/>
        <v>5.4882392424009182E-11</v>
      </c>
      <c r="O55" s="122">
        <f t="shared" si="68"/>
        <v>7.465253920900235E-11</v>
      </c>
      <c r="P55" s="122">
        <f t="shared" si="69"/>
        <v>8.1915018267864237E-11</v>
      </c>
      <c r="Q55" s="112">
        <f t="shared" si="70"/>
        <v>6.4679159964092525E-11</v>
      </c>
    </row>
    <row r="56" spans="1:17" ht="15">
      <c r="A56" s="108" t="s">
        <v>155</v>
      </c>
      <c r="B56" s="109">
        <v>0.99980000000000002</v>
      </c>
      <c r="C56" s="127"/>
      <c r="D56" s="127"/>
      <c r="E56" s="127"/>
      <c r="F56" s="127"/>
      <c r="G56" s="127"/>
      <c r="H56" s="110">
        <f>IFERROR(VLOOKUP("Pb-214",$A$4:$Q$32,3)*VLOOKUP("Pb-214",Doses!$A$1:$O$40,9)*$B56,0)</f>
        <v>7.3653701564319594</v>
      </c>
      <c r="I56" s="122">
        <f>IFERROR(VLOOKUP("Pb-214",$A$4:$Q$32,4)*VLOOKUP("Pb-214",Doses!$A$1:$O$40,12)*$B56,0)</f>
        <v>8.8079154259090036</v>
      </c>
      <c r="J56" s="122">
        <f>IFERROR(VLOOKUP("Pb-214",$A$4:$Q$32,5)*VLOOKUP("Pb-214",Doses!$A$1:$O$40,13)*$B56,0)</f>
        <v>9.1412289145107781</v>
      </c>
      <c r="K56" s="122">
        <f>IFERROR(VLOOKUP("Pb-214",$A$4:$Q$32,6)*VLOOKUP("Pb-214",Doses!$A$1:$O$40,14)*$B56,0)</f>
        <v>9.0255819187821622</v>
      </c>
      <c r="L56" s="122">
        <f>IFERROR(VLOOKUP("Pb-214",$A$4:$Q$32,7)*VLOOKUP("Pb-214",Doses!$A$1:$O$40,15)*$B56,0)</f>
        <v>7.7237520370076549</v>
      </c>
      <c r="M56" s="110">
        <f t="shared" si="66"/>
        <v>0.27251869578798277</v>
      </c>
      <c r="N56" s="122">
        <f t="shared" si="67"/>
        <v>0.32589287075863344</v>
      </c>
      <c r="O56" s="122">
        <f t="shared" si="68"/>
        <v>0.33822546983689911</v>
      </c>
      <c r="P56" s="122">
        <f t="shared" si="69"/>
        <v>0.33394653099494032</v>
      </c>
      <c r="Q56" s="112">
        <f t="shared" si="70"/>
        <v>0.28577882536928351</v>
      </c>
    </row>
    <row r="57" spans="1:17" ht="15">
      <c r="A57" s="108" t="s">
        <v>157</v>
      </c>
      <c r="B57" s="109">
        <v>0.99999979999999999</v>
      </c>
      <c r="C57" s="127"/>
      <c r="D57" s="127"/>
      <c r="E57" s="127"/>
      <c r="F57" s="127"/>
      <c r="G57" s="127"/>
      <c r="H57" s="110">
        <f>IFERROR(VLOOKUP("Bi-214",$A$4:$Q$32,3)*VLOOKUP("Bi-214",Doses!$A$1:$O$40,9)*$B57,0)</f>
        <v>11.534534261894056</v>
      </c>
      <c r="I57" s="122">
        <f>IFERROR(VLOOKUP("Bi-214",$A$4:$Q$32,4)*VLOOKUP("Bi-214",Doses!$A$1:$O$40,12)*$B57,0)</f>
        <v>7.9097334585210284</v>
      </c>
      <c r="J57" s="122">
        <f>IFERROR(VLOOKUP("Bi-214",$A$4:$Q$32,5)*VLOOKUP("Bi-214",Doses!$A$1:$O$40,13)*$B57,0)</f>
        <v>10.474041688804258</v>
      </c>
      <c r="K57" s="122">
        <f>IFERROR(VLOOKUP("Bi-214",$A$4:$Q$32,6)*VLOOKUP("Bi-214",Doses!$A$1:$O$40,14)*$B57,0)</f>
        <v>10.882887510505395</v>
      </c>
      <c r="L57" s="122">
        <f>IFERROR(VLOOKUP("Bi-214",$A$4:$Q$32,7)*VLOOKUP("Bi-214",Doses!$A$1:$O$40,15)*$B57,0)</f>
        <v>9.1129342028294626</v>
      </c>
      <c r="M57" s="110">
        <f t="shared" si="66"/>
        <v>0.42677776769008047</v>
      </c>
      <c r="N57" s="122">
        <f t="shared" si="67"/>
        <v>0.29266013796527834</v>
      </c>
      <c r="O57" s="122">
        <f t="shared" si="68"/>
        <v>0.38753954248575795</v>
      </c>
      <c r="P57" s="122">
        <f t="shared" si="69"/>
        <v>0.4026668378887</v>
      </c>
      <c r="Q57" s="112">
        <f t="shared" si="70"/>
        <v>0.33717856550469044</v>
      </c>
    </row>
    <row r="58" spans="1:17" ht="15">
      <c r="A58" s="108" t="s">
        <v>159</v>
      </c>
      <c r="B58" s="109">
        <v>0.99979000004200003</v>
      </c>
      <c r="C58" s="127"/>
      <c r="D58" s="127"/>
      <c r="E58" s="127"/>
      <c r="F58" s="127"/>
      <c r="G58" s="127"/>
      <c r="H58" s="110">
        <f>IFERROR(VLOOKUP("Po-214",$A$4:$Q$32,3)*VLOOKUP("Po-214",Doses!$A$1:$O$40,9)*$B58,0)</f>
        <v>9.704393656609732E-4</v>
      </c>
      <c r="I58" s="122">
        <f>IFERROR(VLOOKUP("Po-214",$A$4:$Q$32,4)*VLOOKUP("Po-214",Doses!$A$1:$O$40,12)*$B58,0)</f>
        <v>6.0242520369522168E-4</v>
      </c>
      <c r="J58" s="122">
        <f>IFERROR(VLOOKUP("Po-214",$A$4:$Q$32,5)*VLOOKUP("Po-214",Doses!$A$1:$O$40,13)*$B58,0)</f>
        <v>8.3717959231407785E-4</v>
      </c>
      <c r="K58" s="122">
        <f>IFERROR(VLOOKUP("Po-214",$A$4:$Q$32,6)*VLOOKUP("Po-214",Doses!$A$1:$O$40,14)*$B58,0)</f>
        <v>8.5864735572677685E-4</v>
      </c>
      <c r="L58" s="122">
        <f>IFERROR(VLOOKUP("Po-214",$A$4:$Q$32,7)*VLOOKUP("Po-214",Doses!$A$1:$O$40,15)*$B58,0)</f>
        <v>7.4456137598920042E-4</v>
      </c>
      <c r="M58" s="110">
        <f t="shared" si="66"/>
        <v>3.5906256529456048E-5</v>
      </c>
      <c r="N58" s="122">
        <f t="shared" si="67"/>
        <v>2.2289732536723225E-5</v>
      </c>
      <c r="O58" s="122">
        <f t="shared" si="68"/>
        <v>3.0975644915620914E-5</v>
      </c>
      <c r="P58" s="122">
        <f t="shared" si="69"/>
        <v>3.1769952161890776E-5</v>
      </c>
      <c r="Q58" s="112">
        <f t="shared" si="70"/>
        <v>2.7548770911600443E-5</v>
      </c>
    </row>
    <row r="59" spans="1:17" ht="15">
      <c r="A59" s="108" t="s">
        <v>160</v>
      </c>
      <c r="B59" s="109">
        <v>2.0999995799999999E-4</v>
      </c>
      <c r="C59" s="127"/>
      <c r="D59" s="127"/>
      <c r="E59" s="127"/>
      <c r="F59" s="127"/>
      <c r="G59" s="127"/>
      <c r="H59" s="110">
        <f>IFERROR(VLOOKUP("Tl-210",$A$4:$Q$32,3)*VLOOKUP("Tl-210",Doses!$A$1:$O$40,9)*$B59,0)</f>
        <v>5.8264047121474195E-3</v>
      </c>
      <c r="I59" s="122">
        <f>IFERROR(VLOOKUP("Tl-210",$A$4:$Q$32,4)*VLOOKUP("Tl-210",Doses!$A$1:$O$40,12)*$B59,0)</f>
        <v>4.7979798680992105E-3</v>
      </c>
      <c r="J59" s="122">
        <f>IFERROR(VLOOKUP("Tl-210",$A$4:$Q$32,5)*VLOOKUP("Tl-210",Doses!$A$1:$O$40,13)*$B59,0)</f>
        <v>5.714976066489832E-3</v>
      </c>
      <c r="K59" s="122">
        <f>IFERROR(VLOOKUP("Tl-210",$A$4:$Q$32,6)*VLOOKUP("Tl-210",Doses!$A$1:$O$40,14)*$B59,0)</f>
        <v>5.8143983882620407E-3</v>
      </c>
      <c r="L59" s="122">
        <f>IFERROR(VLOOKUP("Tl-210",$A$4:$Q$32,7)*VLOOKUP("Tl-210",Doses!$A$1:$O$40,15)*$B59,0)</f>
        <v>4.9717008944354787E-3</v>
      </c>
      <c r="M59" s="110">
        <f t="shared" si="66"/>
        <v>2.1557697434945473E-4</v>
      </c>
      <c r="N59" s="122">
        <f t="shared" si="67"/>
        <v>1.7752525511967096E-4</v>
      </c>
      <c r="O59" s="122">
        <f t="shared" si="68"/>
        <v>2.1145411446012399E-4</v>
      </c>
      <c r="P59" s="122">
        <f t="shared" si="69"/>
        <v>2.1513274036569571E-4</v>
      </c>
      <c r="Q59" s="112">
        <f t="shared" si="70"/>
        <v>1.8395293309411291E-4</v>
      </c>
    </row>
    <row r="60" spans="1:17" ht="15">
      <c r="A60" s="108" t="s">
        <v>161</v>
      </c>
      <c r="B60" s="109">
        <v>1</v>
      </c>
      <c r="C60" s="127"/>
      <c r="D60" s="127"/>
      <c r="E60" s="127"/>
      <c r="F60" s="127"/>
      <c r="G60" s="127"/>
      <c r="H60" s="110">
        <f>IFERROR(VLOOKUP("Pb-210",$A$4:$Q$32,3)*VLOOKUP("Pb-210",Doses!$A$1:$O$40,9)*$B60,0)</f>
        <v>1.1708775980376713</v>
      </c>
      <c r="I60" s="122">
        <f>IFERROR(VLOOKUP("Pb-210",$A$4:$Q$32,4)*VLOOKUP("Pb-210",Doses!$A$1:$O$40,12)*$B60,0)</f>
        <v>5.3133371037460044</v>
      </c>
      <c r="J60" s="122">
        <f>IFERROR(VLOOKUP("Pb-210",$A$4:$Q$32,5)*VLOOKUP("Pb-210",Doses!$A$1:$O$40,13)*$B60,0)</f>
        <v>2.5961223041780821</v>
      </c>
      <c r="K60" s="122">
        <f>IFERROR(VLOOKUP("Pb-210",$A$4:$Q$32,6)*VLOOKUP("Pb-210",Doses!$A$1:$O$40,14)*$B60,0)</f>
        <v>2.5676841139960049</v>
      </c>
      <c r="L60" s="122">
        <f>IFERROR(VLOOKUP("Pb-210",$A$4:$Q$32,7)*VLOOKUP("Pb-210",Doses!$A$1:$O$40,15)*$B60,0)</f>
        <v>2.4129220464275112</v>
      </c>
      <c r="M60" s="110">
        <f t="shared" si="66"/>
        <v>4.3322471127393881E-2</v>
      </c>
      <c r="N60" s="122">
        <f t="shared" si="67"/>
        <v>0.19659347283860237</v>
      </c>
      <c r="O60" s="122">
        <f t="shared" si="68"/>
        <v>9.6056525254589131E-2</v>
      </c>
      <c r="P60" s="122">
        <f t="shared" si="69"/>
        <v>9.5004312217852285E-2</v>
      </c>
      <c r="Q60" s="112">
        <f t="shared" si="70"/>
        <v>8.9278115717818005E-2</v>
      </c>
    </row>
    <row r="61" spans="1:17" ht="15">
      <c r="A61" s="108" t="s">
        <v>162</v>
      </c>
      <c r="B61" s="109">
        <v>1</v>
      </c>
      <c r="C61" s="127"/>
      <c r="D61" s="127"/>
      <c r="E61" s="127"/>
      <c r="F61" s="127"/>
      <c r="G61" s="127"/>
      <c r="H61" s="110">
        <f>IFERROR(VLOOKUP("Bi-210",$A$4:$Q$32,3)*VLOOKUP("Bi-210",Doses!$A$1:$O$40,9)*$B61,0)</f>
        <v>9.8038013023173518E-6</v>
      </c>
      <c r="I61" s="122">
        <f>IFERROR(VLOOKUP("Bi-210",$A$4:$Q$32,4)*VLOOKUP("Bi-210",Doses!$A$1:$O$40,12)*$B61,0)</f>
        <v>9.9509128614098164E-6</v>
      </c>
      <c r="J61" s="122">
        <f>IFERROR(VLOOKUP("Bi-210",$A$4:$Q$32,5)*VLOOKUP("Bi-210",Doses!$A$1:$O$40,13)*$B61,0)</f>
        <v>1.1578463816797945E-5</v>
      </c>
      <c r="K61" s="122">
        <f>IFERROR(VLOOKUP("Bi-210",$A$4:$Q$32,6)*VLOOKUP("Bi-210",Doses!$A$1:$O$40,14)*$B61,0)</f>
        <v>1.1584123343293379E-5</v>
      </c>
      <c r="L61" s="122">
        <f>IFERROR(VLOOKUP("Bi-210",$A$4:$Q$32,7)*VLOOKUP("Bi-210",Doses!$A$1:$O$40,15)*$B61,0)</f>
        <v>9.8151649660216898E-6</v>
      </c>
      <c r="M61" s="110">
        <f t="shared" ref="M61:M78" si="72">IFERROR(H61/s_1_bq,".")</f>
        <v>3.6274064818574236E-7</v>
      </c>
      <c r="N61" s="122">
        <f t="shared" ref="N61:N78" si="73">IFERROR(I61/s_1_bq,".")</f>
        <v>3.6818377587216356E-7</v>
      </c>
      <c r="O61" s="122">
        <f t="shared" ref="O61:O78" si="74">IFERROR(J61/s_1_bq,".")</f>
        <v>4.284031612215244E-7</v>
      </c>
      <c r="P61" s="122">
        <f t="shared" ref="P61:P78" si="75">IFERROR(K61/s_1_bq,".")</f>
        <v>4.2861256370185547E-7</v>
      </c>
      <c r="Q61" s="112">
        <f t="shared" ref="Q61:Q78" si="76">IFERROR(L61/s_1_bq,".")</f>
        <v>3.631611037428029E-7</v>
      </c>
    </row>
    <row r="62" spans="1:17" ht="15">
      <c r="A62" s="108" t="s">
        <v>164</v>
      </c>
      <c r="B62" s="109">
        <v>1</v>
      </c>
      <c r="C62" s="127"/>
      <c r="D62" s="127"/>
      <c r="E62" s="127"/>
      <c r="F62" s="127"/>
      <c r="G62" s="127"/>
      <c r="H62" s="110">
        <f>IFERROR(VLOOKUP("Po-210",$A$4:$Q$32,3)*VLOOKUP("Po-210",Doses!$A$1:$O$40,9)*$B62,0)</f>
        <v>1.1285320394760274E-4</v>
      </c>
      <c r="I62" s="122">
        <f>IFERROR(VLOOKUP("Po-210",$A$4:$Q$32,4)*VLOOKUP("Po-210",Doses!$A$1:$O$40,12)*$B62,0)</f>
        <v>7.0031290262271691E-5</v>
      </c>
      <c r="J62" s="122">
        <f>IFERROR(VLOOKUP("Po-210",$A$4:$Q$32,5)*VLOOKUP("Po-210",Doses!$A$1:$O$40,13)*$B62,0)</f>
        <v>9.7311917372773981E-5</v>
      </c>
      <c r="K62" s="122">
        <f>IFERROR(VLOOKUP("Po-210",$A$4:$Q$32,6)*VLOOKUP("Po-210",Doses!$A$1:$O$40,14)*$B62,0)</f>
        <v>9.9682459582762565E-5</v>
      </c>
      <c r="L62" s="122">
        <f>IFERROR(VLOOKUP("Po-210",$A$4:$Q$32,7)*VLOOKUP("Po-210",Doses!$A$1:$O$40,15)*$B62,0)</f>
        <v>8.6493884680022829E-5</v>
      </c>
      <c r="M62" s="110">
        <f t="shared" si="72"/>
        <v>4.175568546061306E-6</v>
      </c>
      <c r="N62" s="122">
        <f t="shared" si="73"/>
        <v>2.591157739704055E-6</v>
      </c>
      <c r="O62" s="122">
        <f t="shared" si="74"/>
        <v>3.6005409427926409E-6</v>
      </c>
      <c r="P62" s="122">
        <f t="shared" si="75"/>
        <v>3.6882510045622186E-6</v>
      </c>
      <c r="Q62" s="112">
        <f t="shared" si="76"/>
        <v>3.2002737331608477E-6</v>
      </c>
    </row>
    <row r="63" spans="1:17" ht="15">
      <c r="A63" s="108" t="s">
        <v>163</v>
      </c>
      <c r="B63" s="109">
        <v>1.9000000000000001E-8</v>
      </c>
      <c r="C63" s="127"/>
      <c r="D63" s="127"/>
      <c r="E63" s="127"/>
      <c r="F63" s="127"/>
      <c r="G63" s="127"/>
      <c r="H63" s="110">
        <f>IFERROR(VLOOKUP("Hg-206",$A$4:$Q$32,3)*VLOOKUP("Hg-206",Doses!$A$1:$O$40,9)*$B63,0)</f>
        <v>6.4322511679118154E-8</v>
      </c>
      <c r="I63" s="122">
        <f>IFERROR(VLOOKUP("Hg-206",$A$4:$Q$32,4)*VLOOKUP("Hg-206",Doses!$A$1:$O$40,12)*$B63,0)</f>
        <v>6.9319695322631283E-8</v>
      </c>
      <c r="J63" s="122">
        <f>IFERROR(VLOOKUP("Hg-206",$A$4:$Q$32,5)*VLOOKUP("Hg-206",Doses!$A$1:$O$40,13)*$B63,0)</f>
        <v>7.8840929996840748E-8</v>
      </c>
      <c r="K63" s="122">
        <f>IFERROR(VLOOKUP("Hg-206",$A$4:$Q$32,6)*VLOOKUP("Hg-206",Doses!$A$1:$O$40,14)*$B63,0)</f>
        <v>7.8015328988553663E-8</v>
      </c>
      <c r="L63" s="122">
        <f>IFERROR(VLOOKUP("Hg-206",$A$4:$Q$32,7)*VLOOKUP("Hg-206",Doses!$A$1:$O$40,15)*$B63,0)</f>
        <v>6.5863743929613016E-8</v>
      </c>
      <c r="M63" s="110">
        <f t="shared" si="72"/>
        <v>2.3799329321273742E-9</v>
      </c>
      <c r="N63" s="122">
        <f t="shared" si="73"/>
        <v>2.5648287269373601E-9</v>
      </c>
      <c r="O63" s="122">
        <f t="shared" si="74"/>
        <v>2.9171144098831108E-9</v>
      </c>
      <c r="P63" s="122">
        <f t="shared" si="75"/>
        <v>2.8865671725764884E-9</v>
      </c>
      <c r="Q63" s="112">
        <f t="shared" si="76"/>
        <v>2.4369585253956841E-9</v>
      </c>
    </row>
    <row r="64" spans="1:17" ht="15.75" thickBot="1">
      <c r="A64" s="108" t="s">
        <v>165</v>
      </c>
      <c r="B64" s="109">
        <v>1.339E-6</v>
      </c>
      <c r="C64" s="127"/>
      <c r="D64" s="127"/>
      <c r="E64" s="127"/>
      <c r="F64" s="127"/>
      <c r="G64" s="127"/>
      <c r="H64" s="117">
        <f>IFERROR(VLOOKUP("Tl-206",$A$4:$Q$32,3)*VLOOKUP("Tl-206",Doses!$A$1:$O$40,9)*$B64,0)</f>
        <v>7.0752581495189201E-9</v>
      </c>
      <c r="I64" s="118">
        <f>IFERROR(VLOOKUP("Tl-206",$A$4:$Q$32,4)*VLOOKUP("Tl-206",Doses!$A$1:$O$40,12)*$B64,0)</f>
        <v>1.5938795691073309E-8</v>
      </c>
      <c r="J64" s="118">
        <f>IFERROR(VLOOKUP("Tl-206",$A$4:$Q$32,5)*VLOOKUP("Tl-206",Doses!$A$1:$O$40,13)*$B64,0)</f>
        <v>1.2892906735776256E-8</v>
      </c>
      <c r="K64" s="118">
        <f>IFERROR(VLOOKUP("Tl-206",$A$4:$Q$32,6)*VLOOKUP("Tl-206",Doses!$A$1:$O$40,14)*$B64,0)</f>
        <v>1.0216326222347843E-8</v>
      </c>
      <c r="L64" s="118">
        <f>IFERROR(VLOOKUP("Tl-206",$A$4:$Q$32,7)*VLOOKUP("Tl-206",Doses!$A$1:$O$40,15)*$B64,0)</f>
        <v>1.0703337157886662E-8</v>
      </c>
      <c r="M64" s="117">
        <f t="shared" si="72"/>
        <v>2.617845515322003E-10</v>
      </c>
      <c r="N64" s="118">
        <f t="shared" si="73"/>
        <v>5.8973544056971302E-10</v>
      </c>
      <c r="O64" s="118">
        <f t="shared" si="74"/>
        <v>4.77037549223722E-10</v>
      </c>
      <c r="P64" s="118">
        <f t="shared" si="75"/>
        <v>3.7800407022687054E-10</v>
      </c>
      <c r="Q64" s="119">
        <f t="shared" si="76"/>
        <v>3.9602347484180689E-10</v>
      </c>
    </row>
    <row r="65" spans="1:17" ht="15">
      <c r="A65" s="104" t="s">
        <v>31</v>
      </c>
      <c r="B65" s="104" t="s">
        <v>50</v>
      </c>
      <c r="C65" s="127"/>
      <c r="D65" s="127"/>
      <c r="E65" s="127"/>
      <c r="F65" s="127"/>
      <c r="G65" s="127"/>
      <c r="H65" s="114">
        <f>SUM(H66:H78)</f>
        <v>20.084317592344679</v>
      </c>
      <c r="I65" s="121">
        <f t="shared" ref="I65:L65" si="77">SUM(I66:I78)</f>
        <v>22.041148233529142</v>
      </c>
      <c r="J65" s="121">
        <f t="shared" si="77"/>
        <v>22.224176229949659</v>
      </c>
      <c r="K65" s="121">
        <f t="shared" si="77"/>
        <v>22.490058311429454</v>
      </c>
      <c r="L65" s="121">
        <f t="shared" si="77"/>
        <v>19.262060379753674</v>
      </c>
      <c r="M65" s="114">
        <f t="shared" si="72"/>
        <v>0.74311975091675386</v>
      </c>
      <c r="N65" s="121">
        <f t="shared" si="73"/>
        <v>0.81552248464057908</v>
      </c>
      <c r="O65" s="121">
        <f t="shared" si="74"/>
        <v>0.82229452050813823</v>
      </c>
      <c r="P65" s="121">
        <f t="shared" si="75"/>
        <v>0.8321321575228906</v>
      </c>
      <c r="Q65" s="116">
        <f t="shared" si="76"/>
        <v>0.71269623405088667</v>
      </c>
    </row>
    <row r="66" spans="1:17" ht="15">
      <c r="A66" s="108" t="s">
        <v>153</v>
      </c>
      <c r="B66" s="109">
        <v>1</v>
      </c>
      <c r="C66" s="127"/>
      <c r="D66" s="127"/>
      <c r="E66" s="127"/>
      <c r="F66" s="127"/>
      <c r="G66" s="127"/>
      <c r="H66" s="110">
        <f>IFERROR(VLOOKUP("Rn-222",$A$4:$Q$32,3)*VLOOKUP("Rn-222",Doses!$A$1:$O$40,9)*$B66,0)</f>
        <v>6.6160013737671238E-3</v>
      </c>
      <c r="I66" s="122">
        <f>IFERROR(VLOOKUP("Rn-222",$A$4:$Q$32,4)*VLOOKUP("Rn-222",Doses!$A$1:$O$40,12)*$B66,0)</f>
        <v>4.6817713363892692E-3</v>
      </c>
      <c r="J66" s="122">
        <f>IFERROR(VLOOKUP("Rn-222",$A$4:$Q$32,5)*VLOOKUP("Rn-222",Doses!$A$1:$O$40,13)*$B66,0)</f>
        <v>6.1221826650793374E-3</v>
      </c>
      <c r="K66" s="122">
        <f>IFERROR(VLOOKUP("Rn-222",$A$4:$Q$32,6)*VLOOKUP("Rn-222",Doses!$A$1:$O$40,14)*$B66,0)</f>
        <v>7.1203653734018251E-3</v>
      </c>
      <c r="L66" s="122">
        <f>IFERROR(VLOOKUP("Rn-222",$A$4:$Q$32,7)*VLOOKUP("Rn-222",Doses!$A$1:$O$40,15)*$B66,0)</f>
        <v>6.6394438538070781E-3</v>
      </c>
      <c r="M66" s="110">
        <f t="shared" si="72"/>
        <v>2.4479205082938386E-4</v>
      </c>
      <c r="N66" s="122">
        <f t="shared" si="73"/>
        <v>1.7322553944640312E-4</v>
      </c>
      <c r="O66" s="122">
        <f t="shared" si="74"/>
        <v>2.2652075860793571E-4</v>
      </c>
      <c r="P66" s="122">
        <f t="shared" si="75"/>
        <v>2.6345351881586779E-4</v>
      </c>
      <c r="Q66" s="112">
        <f t="shared" si="76"/>
        <v>2.4565942259086211E-4</v>
      </c>
    </row>
    <row r="67" spans="1:17" ht="15">
      <c r="A67" s="108" t="s">
        <v>154</v>
      </c>
      <c r="B67" s="109">
        <v>1</v>
      </c>
      <c r="C67" s="127"/>
      <c r="D67" s="127"/>
      <c r="E67" s="127"/>
      <c r="F67" s="127"/>
      <c r="G67" s="127"/>
      <c r="H67" s="110">
        <f>IFERROR(VLOOKUP("Po-218",$A$4:$Q$32,3)*VLOOKUP("Po-218",Doses!$A$1:$O$40,9)*$B67,0)</f>
        <v>0</v>
      </c>
      <c r="I67" s="122">
        <f>IFERROR(VLOOKUP("Po-218",$A$4:$Q$32,4)*VLOOKUP("Po-218",Doses!$A$1:$O$40,12)*$B67,0)</f>
        <v>0</v>
      </c>
      <c r="J67" s="122">
        <f>IFERROR(VLOOKUP("Po-218",$A$4:$Q$32,5)*VLOOKUP("Po-218",Doses!$A$1:$O$40,13)*$B67,0)</f>
        <v>0</v>
      </c>
      <c r="K67" s="122">
        <f>IFERROR(VLOOKUP("Po-218",$A$4:$Q$32,6)*VLOOKUP("Po-218",Doses!$A$1:$O$40,14)*$B67,0)</f>
        <v>0</v>
      </c>
      <c r="L67" s="122">
        <f>IFERROR(VLOOKUP("Po-218",$A$4:$Q$32,7)*VLOOKUP("Po-218",Doses!$A$1:$O$40,15)*$B67,0)</f>
        <v>0</v>
      </c>
      <c r="M67" s="110">
        <f t="shared" si="72"/>
        <v>0</v>
      </c>
      <c r="N67" s="122">
        <f t="shared" si="73"/>
        <v>0</v>
      </c>
      <c r="O67" s="122">
        <f t="shared" si="74"/>
        <v>0</v>
      </c>
      <c r="P67" s="122">
        <f t="shared" si="75"/>
        <v>0</v>
      </c>
      <c r="Q67" s="112">
        <f t="shared" si="76"/>
        <v>0</v>
      </c>
    </row>
    <row r="68" spans="1:17" ht="15">
      <c r="A68" s="108" t="s">
        <v>156</v>
      </c>
      <c r="B68" s="109">
        <v>2.0000000000000001E-4</v>
      </c>
      <c r="C68" s="127"/>
      <c r="D68" s="127"/>
      <c r="E68" s="127"/>
      <c r="F68" s="127"/>
      <c r="G68" s="127"/>
      <c r="H68" s="110">
        <f>IFERROR(VLOOKUP("At-218",$A$4:$Q$32,3)*VLOOKUP("At-218",Doses!$A$1:$O$40,9)*$B68,0)</f>
        <v>0</v>
      </c>
      <c r="I68" s="122">
        <f>IFERROR(VLOOKUP("At-218",$A$4:$Q$32,4)*VLOOKUP("At-218",Doses!$A$1:$O$40,12)*$B68,0)</f>
        <v>0</v>
      </c>
      <c r="J68" s="122">
        <f>IFERROR(VLOOKUP("At-218",$A$4:$Q$32,5)*VLOOKUP("At-218",Doses!$A$1:$O$40,13)*$B68,0)</f>
        <v>0</v>
      </c>
      <c r="K68" s="122">
        <f>IFERROR(VLOOKUP("At-218",$A$4:$Q$32,6)*VLOOKUP("At-218",Doses!$A$1:$O$40,14)*$B68,0)</f>
        <v>0</v>
      </c>
      <c r="L68" s="122">
        <f>IFERROR(VLOOKUP("At-218",$A$4:$Q$32,7)*VLOOKUP("At-218",Doses!$A$1:$O$40,15)*$B68,0)</f>
        <v>0</v>
      </c>
      <c r="M68" s="110">
        <f t="shared" si="72"/>
        <v>0</v>
      </c>
      <c r="N68" s="122">
        <f t="shared" si="73"/>
        <v>0</v>
      </c>
      <c r="O68" s="122">
        <f t="shared" si="74"/>
        <v>0</v>
      </c>
      <c r="P68" s="122">
        <f t="shared" si="75"/>
        <v>0</v>
      </c>
      <c r="Q68" s="112">
        <f t="shared" si="76"/>
        <v>0</v>
      </c>
    </row>
    <row r="69" spans="1:17" ht="15">
      <c r="A69" s="108" t="s">
        <v>158</v>
      </c>
      <c r="B69" s="109">
        <v>1.9999999999999999E-7</v>
      </c>
      <c r="C69" s="127"/>
      <c r="D69" s="127"/>
      <c r="E69" s="127"/>
      <c r="F69" s="127"/>
      <c r="G69" s="127"/>
      <c r="H69" s="110">
        <f>IFERROR(VLOOKUP("Rn-218",$A$4:$Q$32,3)*VLOOKUP("Rn-218",Doses!$A$1:$O$40,9)*$B69,0)</f>
        <v>2.1263984919783101E-9</v>
      </c>
      <c r="I69" s="122">
        <f>IFERROR(VLOOKUP("Rn-218",$A$4:$Q$32,4)*VLOOKUP("Rn-218",Doses!$A$1:$O$40,12)*$B69,0)</f>
        <v>1.483307903351598E-9</v>
      </c>
      <c r="J69" s="122">
        <f>IFERROR(VLOOKUP("Rn-218",$A$4:$Q$32,5)*VLOOKUP("Rn-218",Doses!$A$1:$O$40,13)*$B69,0)</f>
        <v>2.0176361948378993E-9</v>
      </c>
      <c r="K69" s="122">
        <f>IFERROR(VLOOKUP("Rn-218",$A$4:$Q$32,6)*VLOOKUP("Rn-218",Doses!$A$1:$O$40,14)*$B69,0)</f>
        <v>2.2139194126449772E-9</v>
      </c>
      <c r="L69" s="122">
        <f>IFERROR(VLOOKUP("Rn-218",$A$4:$Q$32,7)*VLOOKUP("Rn-218",Doses!$A$1:$O$40,15)*$B69,0)</f>
        <v>1.7480854044349312E-9</v>
      </c>
      <c r="M69" s="110">
        <f t="shared" si="72"/>
        <v>7.8676744203197552E-11</v>
      </c>
      <c r="N69" s="122">
        <f t="shared" si="73"/>
        <v>5.4882392424009182E-11</v>
      </c>
      <c r="O69" s="122">
        <f t="shared" si="74"/>
        <v>7.465253920900235E-11</v>
      </c>
      <c r="P69" s="122">
        <f t="shared" si="75"/>
        <v>8.1915018267864237E-11</v>
      </c>
      <c r="Q69" s="112">
        <f t="shared" si="76"/>
        <v>6.4679159964092525E-11</v>
      </c>
    </row>
    <row r="70" spans="1:17" ht="15">
      <c r="A70" s="108" t="s">
        <v>155</v>
      </c>
      <c r="B70" s="109">
        <v>0.99980000000000002</v>
      </c>
      <c r="C70" s="127"/>
      <c r="D70" s="127"/>
      <c r="E70" s="127"/>
      <c r="F70" s="127"/>
      <c r="G70" s="127"/>
      <c r="H70" s="110">
        <f>IFERROR(VLOOKUP("Pb-214",$A$4:$Q$32,3)*VLOOKUP("Pb-214",Doses!$A$1:$O$40,9)*$B70,0)</f>
        <v>7.3653701564319594</v>
      </c>
      <c r="I70" s="122">
        <f>IFERROR(VLOOKUP("Pb-214",$A$4:$Q$32,4)*VLOOKUP("Pb-214",Doses!$A$1:$O$40,12)*$B70,0)</f>
        <v>8.8079154259090036</v>
      </c>
      <c r="J70" s="122">
        <f>IFERROR(VLOOKUP("Pb-214",$A$4:$Q$32,5)*VLOOKUP("Pb-214",Doses!$A$1:$O$40,13)*$B70,0)</f>
        <v>9.1412289145107781</v>
      </c>
      <c r="K70" s="122">
        <f>IFERROR(VLOOKUP("Pb-214",$A$4:$Q$32,6)*VLOOKUP("Pb-214",Doses!$A$1:$O$40,14)*$B70,0)</f>
        <v>9.0255819187821622</v>
      </c>
      <c r="L70" s="122">
        <f>IFERROR(VLOOKUP("Pb-214",$A$4:$Q$32,7)*VLOOKUP("Pb-214",Doses!$A$1:$O$40,15)*$B70,0)</f>
        <v>7.7237520370076549</v>
      </c>
      <c r="M70" s="110">
        <f t="shared" si="72"/>
        <v>0.27251869578798277</v>
      </c>
      <c r="N70" s="122">
        <f t="shared" si="73"/>
        <v>0.32589287075863344</v>
      </c>
      <c r="O70" s="122">
        <f t="shared" si="74"/>
        <v>0.33822546983689911</v>
      </c>
      <c r="P70" s="122">
        <f t="shared" si="75"/>
        <v>0.33394653099494032</v>
      </c>
      <c r="Q70" s="112">
        <f t="shared" si="76"/>
        <v>0.28577882536928351</v>
      </c>
    </row>
    <row r="71" spans="1:17" ht="15">
      <c r="A71" s="108" t="s">
        <v>157</v>
      </c>
      <c r="B71" s="109">
        <v>0.99999979999999999</v>
      </c>
      <c r="C71" s="127"/>
      <c r="D71" s="127"/>
      <c r="E71" s="127"/>
      <c r="F71" s="127"/>
      <c r="G71" s="127"/>
      <c r="H71" s="110">
        <f>IFERROR(VLOOKUP("Bi-214",$A$4:$Q$32,3)*VLOOKUP("Bi-214",Doses!$A$1:$O$40,9)*$B71,0)</f>
        <v>11.534534261894056</v>
      </c>
      <c r="I71" s="122">
        <f>IFERROR(VLOOKUP("Bi-214",$A$4:$Q$32,4)*VLOOKUP("Bi-214",Doses!$A$1:$O$40,12)*$B71,0)</f>
        <v>7.9097334585210284</v>
      </c>
      <c r="J71" s="122">
        <f>IFERROR(VLOOKUP("Bi-214",$A$4:$Q$32,5)*VLOOKUP("Bi-214",Doses!$A$1:$O$40,13)*$B71,0)</f>
        <v>10.474041688804258</v>
      </c>
      <c r="K71" s="122">
        <f>IFERROR(VLOOKUP("Bi-214",$A$4:$Q$32,6)*VLOOKUP("Bi-214",Doses!$A$1:$O$40,14)*$B71,0)</f>
        <v>10.882887510505395</v>
      </c>
      <c r="L71" s="122">
        <f>IFERROR(VLOOKUP("Bi-214",$A$4:$Q$32,7)*VLOOKUP("Bi-214",Doses!$A$1:$O$40,15)*$B71,0)</f>
        <v>9.1129342028294626</v>
      </c>
      <c r="M71" s="110">
        <f t="shared" si="72"/>
        <v>0.42677776769008047</v>
      </c>
      <c r="N71" s="122">
        <f t="shared" si="73"/>
        <v>0.29266013796527834</v>
      </c>
      <c r="O71" s="122">
        <f t="shared" si="74"/>
        <v>0.38753954248575795</v>
      </c>
      <c r="P71" s="122">
        <f t="shared" si="75"/>
        <v>0.4026668378887</v>
      </c>
      <c r="Q71" s="112">
        <f t="shared" si="76"/>
        <v>0.33717856550469044</v>
      </c>
    </row>
    <row r="72" spans="1:17" ht="15">
      <c r="A72" s="108" t="s">
        <v>159</v>
      </c>
      <c r="B72" s="109">
        <v>0.99979000004200003</v>
      </c>
      <c r="C72" s="127"/>
      <c r="D72" s="127"/>
      <c r="E72" s="127"/>
      <c r="F72" s="127"/>
      <c r="G72" s="127"/>
      <c r="H72" s="110">
        <f>IFERROR(VLOOKUP("Po-214",$A$4:$Q$32,3)*VLOOKUP("Po-214",Doses!$A$1:$O$40,9)*$B72,0)</f>
        <v>9.704393656609732E-4</v>
      </c>
      <c r="I72" s="122">
        <f>IFERROR(VLOOKUP("Po-214",$A$4:$Q$32,4)*VLOOKUP("Po-214",Doses!$A$1:$O$40,12)*$B72,0)</f>
        <v>6.0242520369522168E-4</v>
      </c>
      <c r="J72" s="122">
        <f>IFERROR(VLOOKUP("Po-214",$A$4:$Q$32,5)*VLOOKUP("Po-214",Doses!$A$1:$O$40,13)*$B72,0)</f>
        <v>8.3717959231407785E-4</v>
      </c>
      <c r="K72" s="122">
        <f>IFERROR(VLOOKUP("Po-214",$A$4:$Q$32,6)*VLOOKUP("Po-214",Doses!$A$1:$O$40,14)*$B72,0)</f>
        <v>8.5864735572677685E-4</v>
      </c>
      <c r="L72" s="122">
        <f>IFERROR(VLOOKUP("Po-214",$A$4:$Q$32,7)*VLOOKUP("Po-214",Doses!$A$1:$O$40,15)*$B72,0)</f>
        <v>7.4456137598920042E-4</v>
      </c>
      <c r="M72" s="110">
        <f t="shared" si="72"/>
        <v>3.5906256529456048E-5</v>
      </c>
      <c r="N72" s="122">
        <f t="shared" si="73"/>
        <v>2.2289732536723225E-5</v>
      </c>
      <c r="O72" s="122">
        <f t="shared" si="74"/>
        <v>3.0975644915620914E-5</v>
      </c>
      <c r="P72" s="122">
        <f t="shared" si="75"/>
        <v>3.1769952161890776E-5</v>
      </c>
      <c r="Q72" s="112">
        <f t="shared" si="76"/>
        <v>2.7548770911600443E-5</v>
      </c>
    </row>
    <row r="73" spans="1:17" ht="15">
      <c r="A73" s="108" t="s">
        <v>160</v>
      </c>
      <c r="B73" s="109">
        <v>2.0999995799999999E-4</v>
      </c>
      <c r="C73" s="127"/>
      <c r="D73" s="127"/>
      <c r="E73" s="127"/>
      <c r="F73" s="127"/>
      <c r="G73" s="127"/>
      <c r="H73" s="110">
        <f>IFERROR(VLOOKUP("Tl-210",$A$4:$Q$32,3)*VLOOKUP("Tl-210",Doses!$A$1:$O$40,9)*$B73,0)</f>
        <v>5.8264047121474195E-3</v>
      </c>
      <c r="I73" s="122">
        <f>IFERROR(VLOOKUP("Tl-210",$A$4:$Q$32,4)*VLOOKUP("Tl-210",Doses!$A$1:$O$40,12)*$B73,0)</f>
        <v>4.7979798680992105E-3</v>
      </c>
      <c r="J73" s="122">
        <f>IFERROR(VLOOKUP("Tl-210",$A$4:$Q$32,5)*VLOOKUP("Tl-210",Doses!$A$1:$O$40,13)*$B73,0)</f>
        <v>5.714976066489832E-3</v>
      </c>
      <c r="K73" s="122">
        <f>IFERROR(VLOOKUP("Tl-210",$A$4:$Q$32,6)*VLOOKUP("Tl-210",Doses!$A$1:$O$40,14)*$B73,0)</f>
        <v>5.8143983882620407E-3</v>
      </c>
      <c r="L73" s="122">
        <f>IFERROR(VLOOKUP("Tl-210",$A$4:$Q$32,7)*VLOOKUP("Tl-210",Doses!$A$1:$O$40,15)*$B73,0)</f>
        <v>4.9717008944354787E-3</v>
      </c>
      <c r="M73" s="110">
        <f t="shared" si="72"/>
        <v>2.1557697434945473E-4</v>
      </c>
      <c r="N73" s="122">
        <f t="shared" si="73"/>
        <v>1.7752525511967096E-4</v>
      </c>
      <c r="O73" s="122">
        <f t="shared" si="74"/>
        <v>2.1145411446012399E-4</v>
      </c>
      <c r="P73" s="122">
        <f t="shared" si="75"/>
        <v>2.1513274036569571E-4</v>
      </c>
      <c r="Q73" s="112">
        <f t="shared" si="76"/>
        <v>1.8395293309411291E-4</v>
      </c>
    </row>
    <row r="74" spans="1:17" ht="15">
      <c r="A74" s="108" t="s">
        <v>161</v>
      </c>
      <c r="B74" s="109">
        <v>1</v>
      </c>
      <c r="C74" s="127"/>
      <c r="D74" s="127"/>
      <c r="E74" s="127"/>
      <c r="F74" s="127"/>
      <c r="G74" s="127"/>
      <c r="H74" s="110">
        <f>IFERROR(VLOOKUP("Pb-210",$A$4:$Q$32,3)*VLOOKUP("Pb-210",Doses!$A$1:$O$40,9)*$B74,0)</f>
        <v>1.1708775980376713</v>
      </c>
      <c r="I74" s="122">
        <f>IFERROR(VLOOKUP("Pb-210",$A$4:$Q$32,4)*VLOOKUP("Pb-210",Doses!$A$1:$O$40,12)*$B74,0)</f>
        <v>5.3133371037460044</v>
      </c>
      <c r="J74" s="122">
        <f>IFERROR(VLOOKUP("Pb-210",$A$4:$Q$32,5)*VLOOKUP("Pb-210",Doses!$A$1:$O$40,13)*$B74,0)</f>
        <v>2.5961223041780821</v>
      </c>
      <c r="K74" s="122">
        <f>IFERROR(VLOOKUP("Pb-210",$A$4:$Q$32,6)*VLOOKUP("Pb-210",Doses!$A$1:$O$40,14)*$B74,0)</f>
        <v>2.5676841139960049</v>
      </c>
      <c r="L74" s="122">
        <f>IFERROR(VLOOKUP("Pb-210",$A$4:$Q$32,7)*VLOOKUP("Pb-210",Doses!$A$1:$O$40,15)*$B74,0)</f>
        <v>2.4129220464275112</v>
      </c>
      <c r="M74" s="110">
        <f t="shared" si="72"/>
        <v>4.3322471127393881E-2</v>
      </c>
      <c r="N74" s="122">
        <f t="shared" si="73"/>
        <v>0.19659347283860237</v>
      </c>
      <c r="O74" s="122">
        <f t="shared" si="74"/>
        <v>9.6056525254589131E-2</v>
      </c>
      <c r="P74" s="122">
        <f t="shared" si="75"/>
        <v>9.5004312217852285E-2</v>
      </c>
      <c r="Q74" s="112">
        <f t="shared" si="76"/>
        <v>8.9278115717818005E-2</v>
      </c>
    </row>
    <row r="75" spans="1:17" ht="15">
      <c r="A75" s="108" t="s">
        <v>162</v>
      </c>
      <c r="B75" s="109">
        <v>1</v>
      </c>
      <c r="C75" s="127"/>
      <c r="D75" s="127"/>
      <c r="E75" s="127"/>
      <c r="F75" s="127"/>
      <c r="G75" s="127"/>
      <c r="H75" s="110">
        <f>IFERROR(VLOOKUP("Bi-210",$A$4:$Q$32,3)*VLOOKUP("Bi-210",Doses!$A$1:$O$40,9)*$B75,0)</f>
        <v>9.8038013023173518E-6</v>
      </c>
      <c r="I75" s="122">
        <f>IFERROR(VLOOKUP("Bi-210",$A$4:$Q$32,4)*VLOOKUP("Bi-210",Doses!$A$1:$O$40,12)*$B75,0)</f>
        <v>9.9509128614098164E-6</v>
      </c>
      <c r="J75" s="122">
        <f>IFERROR(VLOOKUP("Bi-210",$A$4:$Q$32,5)*VLOOKUP("Bi-210",Doses!$A$1:$O$40,13)*$B75,0)</f>
        <v>1.1578463816797945E-5</v>
      </c>
      <c r="K75" s="122">
        <f>IFERROR(VLOOKUP("Bi-210",$A$4:$Q$32,6)*VLOOKUP("Bi-210",Doses!$A$1:$O$40,14)*$B75,0)</f>
        <v>1.1584123343293379E-5</v>
      </c>
      <c r="L75" s="122">
        <f>IFERROR(VLOOKUP("Bi-210",$A$4:$Q$32,7)*VLOOKUP("Bi-210",Doses!$A$1:$O$40,15)*$B75,0)</f>
        <v>9.8151649660216898E-6</v>
      </c>
      <c r="M75" s="110">
        <f t="shared" si="72"/>
        <v>3.6274064818574236E-7</v>
      </c>
      <c r="N75" s="122">
        <f t="shared" si="73"/>
        <v>3.6818377587216356E-7</v>
      </c>
      <c r="O75" s="122">
        <f t="shared" si="74"/>
        <v>4.284031612215244E-7</v>
      </c>
      <c r="P75" s="122">
        <f t="shared" si="75"/>
        <v>4.2861256370185547E-7</v>
      </c>
      <c r="Q75" s="112">
        <f t="shared" si="76"/>
        <v>3.631611037428029E-7</v>
      </c>
    </row>
    <row r="76" spans="1:17" ht="15">
      <c r="A76" s="108" t="s">
        <v>164</v>
      </c>
      <c r="B76" s="109">
        <v>1</v>
      </c>
      <c r="C76" s="127"/>
      <c r="D76" s="127"/>
      <c r="E76" s="127"/>
      <c r="F76" s="127"/>
      <c r="G76" s="127"/>
      <c r="H76" s="110">
        <f>IFERROR(VLOOKUP("Po-210",$A$4:$Q$32,3)*VLOOKUP("Po-210",Doses!$A$1:$O$40,9)*$B76,0)</f>
        <v>1.1285320394760274E-4</v>
      </c>
      <c r="I76" s="122">
        <f>IFERROR(VLOOKUP("Po-210",$A$4:$Q$32,4)*VLOOKUP("Po-210",Doses!$A$1:$O$40,12)*$B76,0)</f>
        <v>7.0031290262271691E-5</v>
      </c>
      <c r="J76" s="122">
        <f>IFERROR(VLOOKUP("Po-210",$A$4:$Q$32,5)*VLOOKUP("Po-210",Doses!$A$1:$O$40,13)*$B76,0)</f>
        <v>9.7311917372773981E-5</v>
      </c>
      <c r="K76" s="122">
        <f>IFERROR(VLOOKUP("Po-210",$A$4:$Q$32,6)*VLOOKUP("Po-210",Doses!$A$1:$O$40,14)*$B76,0)</f>
        <v>9.9682459582762565E-5</v>
      </c>
      <c r="L76" s="122">
        <f>IFERROR(VLOOKUP("Po-210",$A$4:$Q$32,7)*VLOOKUP("Po-210",Doses!$A$1:$O$40,15)*$B76,0)</f>
        <v>8.6493884680022829E-5</v>
      </c>
      <c r="M76" s="110">
        <f t="shared" si="72"/>
        <v>4.175568546061306E-6</v>
      </c>
      <c r="N76" s="122">
        <f t="shared" si="73"/>
        <v>2.591157739704055E-6</v>
      </c>
      <c r="O76" s="122">
        <f t="shared" si="74"/>
        <v>3.6005409427926409E-6</v>
      </c>
      <c r="P76" s="122">
        <f t="shared" si="75"/>
        <v>3.6882510045622186E-6</v>
      </c>
      <c r="Q76" s="112">
        <f t="shared" si="76"/>
        <v>3.2002737331608477E-6</v>
      </c>
    </row>
    <row r="77" spans="1:17" ht="15">
      <c r="A77" s="108" t="s">
        <v>163</v>
      </c>
      <c r="B77" s="109">
        <v>1.9000000000000001E-8</v>
      </c>
      <c r="C77" s="127"/>
      <c r="D77" s="127"/>
      <c r="E77" s="127"/>
      <c r="F77" s="127"/>
      <c r="G77" s="127"/>
      <c r="H77" s="110">
        <f>IFERROR(VLOOKUP("Hg-206",$A$4:$Q$32,3)*VLOOKUP("Hg-206",Doses!$A$1:$O$40,9)*$B77,0)</f>
        <v>6.4322511679118154E-8</v>
      </c>
      <c r="I77" s="122">
        <f>IFERROR(VLOOKUP("Hg-206",$A$4:$Q$32,4)*VLOOKUP("Hg-206",Doses!$A$1:$O$40,12)*$B77,0)</f>
        <v>6.9319695322631283E-8</v>
      </c>
      <c r="J77" s="122">
        <f>IFERROR(VLOOKUP("Hg-206",$A$4:$Q$32,5)*VLOOKUP("Hg-206",Doses!$A$1:$O$40,13)*$B77,0)</f>
        <v>7.8840929996840748E-8</v>
      </c>
      <c r="K77" s="122">
        <f>IFERROR(VLOOKUP("Hg-206",$A$4:$Q$32,6)*VLOOKUP("Hg-206",Doses!$A$1:$O$40,14)*$B77,0)</f>
        <v>7.8015328988553663E-8</v>
      </c>
      <c r="L77" s="122">
        <f>IFERROR(VLOOKUP("Hg-206",$A$4:$Q$32,7)*VLOOKUP("Hg-206",Doses!$A$1:$O$40,15)*$B77,0)</f>
        <v>6.5863743929613016E-8</v>
      </c>
      <c r="M77" s="110">
        <f t="shared" si="72"/>
        <v>2.3799329321273742E-9</v>
      </c>
      <c r="N77" s="122">
        <f t="shared" si="73"/>
        <v>2.5648287269373601E-9</v>
      </c>
      <c r="O77" s="122">
        <f t="shared" si="74"/>
        <v>2.9171144098831108E-9</v>
      </c>
      <c r="P77" s="122">
        <f t="shared" si="75"/>
        <v>2.8865671725764884E-9</v>
      </c>
      <c r="Q77" s="112">
        <f t="shared" si="76"/>
        <v>2.4369585253956841E-9</v>
      </c>
    </row>
    <row r="78" spans="1:17" ht="15.75" thickBot="1">
      <c r="A78" s="108" t="s">
        <v>165</v>
      </c>
      <c r="B78" s="109">
        <v>1.339E-6</v>
      </c>
      <c r="C78" s="127"/>
      <c r="D78" s="127"/>
      <c r="E78" s="127"/>
      <c r="F78" s="127"/>
      <c r="G78" s="127"/>
      <c r="H78" s="117">
        <f>IFERROR(VLOOKUP("Tl-206",$A$4:$Q$32,3)*VLOOKUP("Tl-206",Doses!$A$1:$O$40,9)*$B78,0)</f>
        <v>7.0752581495189201E-9</v>
      </c>
      <c r="I78" s="118">
        <f>IFERROR(VLOOKUP("Tl-206",$A$4:$Q$32,4)*VLOOKUP("Tl-206",Doses!$A$1:$O$40,12)*$B78,0)</f>
        <v>1.5938795691073309E-8</v>
      </c>
      <c r="J78" s="118">
        <f>IFERROR(VLOOKUP("Tl-206",$A$4:$Q$32,5)*VLOOKUP("Tl-206",Doses!$A$1:$O$40,13)*$B78,0)</f>
        <v>1.2892906735776256E-8</v>
      </c>
      <c r="K78" s="118">
        <f>IFERROR(VLOOKUP("Tl-206",$A$4:$Q$32,6)*VLOOKUP("Tl-206",Doses!$A$1:$O$40,14)*$B78,0)</f>
        <v>1.0216326222347843E-8</v>
      </c>
      <c r="L78" s="118">
        <f>IFERROR(VLOOKUP("Tl-206",$A$4:$Q$32,7)*VLOOKUP("Tl-206",Doses!$A$1:$O$40,15)*$B78,0)</f>
        <v>1.0703337157886662E-8</v>
      </c>
      <c r="M78" s="117">
        <f t="shared" si="72"/>
        <v>2.617845515322003E-10</v>
      </c>
      <c r="N78" s="118">
        <f t="shared" si="73"/>
        <v>5.8973544056971302E-10</v>
      </c>
      <c r="O78" s="118">
        <f t="shared" si="74"/>
        <v>4.77037549223722E-10</v>
      </c>
      <c r="P78" s="118">
        <f t="shared" si="75"/>
        <v>3.7800407022687054E-10</v>
      </c>
      <c r="Q78" s="119">
        <f t="shared" si="76"/>
        <v>3.9602347484180689E-10</v>
      </c>
    </row>
  </sheetData>
  <sheetProtection algorithmName="SHA-512" hashValue="AtTJLyb65SLD+CiKE8I3W6Rwq2ioWQe412RqNvb5UsX1e1e/+Mq6WhVrGc3Lg70iQmd/fIXv1ni8qyJ8MPenyw==" saltValue="F9NLLCs2rk4WV9mRfSdM2g==" spinCount="100000" sheet="1" formatCells="0" formatColumns="0" formatRows="0" insertColumns="0" insertRows="0" autoFilter="0"/>
  <autoFilter ref="A2:Q78" xr:uid="{00000000-0009-0000-0000-000016000000}"/>
  <mergeCells count="3">
    <mergeCell ref="H1:L1"/>
    <mergeCell ref="M1:Q1"/>
    <mergeCell ref="C1:G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30"/>
  <sheetViews>
    <sheetView workbookViewId="0">
      <pane xSplit="2" ySplit="1" topLeftCell="C2" activePane="bottomRight" state="frozen"/>
      <selection pane="topRight" activeCell="G1" sqref="G1"/>
      <selection pane="bottomLeft" activeCell="A2" sqref="A2"/>
      <selection pane="bottomRight" activeCell="C2" sqref="C2"/>
    </sheetView>
  </sheetViews>
  <sheetFormatPr defaultRowHeight="12.75"/>
  <cols>
    <col min="1" max="1" width="12.5703125" style="75" bestFit="1" customWidth="1"/>
    <col min="2" max="2" width="8" style="75" bestFit="1" customWidth="1"/>
    <col min="3" max="4" width="15" style="88" bestFit="1" customWidth="1"/>
    <col min="5" max="5" width="12" style="88" bestFit="1" customWidth="1"/>
    <col min="6" max="7" width="14.140625" style="88" bestFit="1" customWidth="1"/>
    <col min="8" max="8" width="12" style="88" bestFit="1" customWidth="1"/>
    <col min="9" max="9" width="12.42578125" style="88" bestFit="1" customWidth="1"/>
    <col min="10" max="10" width="15.140625" style="88" bestFit="1" customWidth="1"/>
    <col min="11" max="11" width="15" style="88" bestFit="1" customWidth="1"/>
    <col min="12" max="12" width="14" style="88" bestFit="1" customWidth="1"/>
    <col min="13" max="14" width="14.85546875" style="88" bestFit="1" customWidth="1"/>
    <col min="15" max="15" width="16" style="88" bestFit="1" customWidth="1"/>
    <col min="16" max="16384" width="9.140625" style="75"/>
  </cols>
  <sheetData>
    <row r="1" spans="1:15">
      <c r="A1" s="77" t="s">
        <v>0</v>
      </c>
      <c r="B1" s="77" t="s">
        <v>43</v>
      </c>
      <c r="C1" s="86" t="s">
        <v>1</v>
      </c>
      <c r="D1" s="86" t="s">
        <v>2</v>
      </c>
      <c r="E1" s="86" t="s">
        <v>3</v>
      </c>
      <c r="F1" s="86" t="s">
        <v>4</v>
      </c>
      <c r="G1" s="86" t="s">
        <v>5</v>
      </c>
      <c r="H1" s="86" t="s">
        <v>6</v>
      </c>
      <c r="I1" s="86" t="s">
        <v>7</v>
      </c>
      <c r="J1" s="86" t="s">
        <v>8</v>
      </c>
      <c r="K1" s="86" t="s">
        <v>9</v>
      </c>
      <c r="L1" s="86" t="s">
        <v>10</v>
      </c>
      <c r="M1" s="86" t="s">
        <v>11</v>
      </c>
      <c r="N1" s="86" t="s">
        <v>12</v>
      </c>
      <c r="O1" s="86" t="s">
        <v>13</v>
      </c>
    </row>
    <row r="2" spans="1:15">
      <c r="A2" s="82" t="s">
        <v>23</v>
      </c>
      <c r="B2" s="12" t="s">
        <v>50</v>
      </c>
      <c r="C2" s="87">
        <v>5</v>
      </c>
      <c r="D2" s="87">
        <v>5</v>
      </c>
      <c r="E2" s="87">
        <v>5</v>
      </c>
      <c r="F2" s="87">
        <v>5</v>
      </c>
      <c r="G2" s="87">
        <v>5</v>
      </c>
      <c r="H2" s="87">
        <v>5</v>
      </c>
      <c r="I2" s="87">
        <v>5</v>
      </c>
      <c r="J2" s="87">
        <v>5</v>
      </c>
      <c r="K2" s="87">
        <v>5</v>
      </c>
      <c r="L2" s="87">
        <v>5</v>
      </c>
      <c r="M2" s="87">
        <v>5</v>
      </c>
      <c r="N2" s="87">
        <v>5</v>
      </c>
      <c r="O2" s="87">
        <v>5</v>
      </c>
    </row>
    <row r="3" spans="1:15">
      <c r="A3" s="83" t="s">
        <v>14</v>
      </c>
      <c r="B3" s="12" t="s">
        <v>44</v>
      </c>
      <c r="C3" s="87">
        <v>5</v>
      </c>
      <c r="D3" s="87">
        <v>5</v>
      </c>
      <c r="E3" s="87">
        <v>5</v>
      </c>
      <c r="F3" s="87">
        <v>5</v>
      </c>
      <c r="G3" s="87">
        <v>5</v>
      </c>
      <c r="H3" s="87">
        <v>5</v>
      </c>
      <c r="I3" s="87">
        <v>5</v>
      </c>
      <c r="J3" s="87">
        <v>5</v>
      </c>
      <c r="K3" s="87">
        <v>5</v>
      </c>
      <c r="L3" s="87">
        <v>5</v>
      </c>
      <c r="M3" s="87">
        <v>5</v>
      </c>
      <c r="N3" s="87">
        <v>5</v>
      </c>
      <c r="O3" s="87">
        <v>5</v>
      </c>
    </row>
    <row r="4" spans="1:15">
      <c r="A4" s="82" t="s">
        <v>15</v>
      </c>
      <c r="B4" s="12" t="s">
        <v>50</v>
      </c>
      <c r="C4" s="87">
        <v>5</v>
      </c>
      <c r="D4" s="87">
        <v>5</v>
      </c>
      <c r="E4" s="87">
        <v>5</v>
      </c>
      <c r="F4" s="87">
        <v>5</v>
      </c>
      <c r="G4" s="87">
        <v>5</v>
      </c>
      <c r="H4" s="87">
        <v>5</v>
      </c>
      <c r="I4" s="87">
        <v>5</v>
      </c>
      <c r="J4" s="87">
        <v>5</v>
      </c>
      <c r="K4" s="87">
        <v>5</v>
      </c>
      <c r="L4" s="87">
        <v>5</v>
      </c>
      <c r="M4" s="87">
        <v>5</v>
      </c>
      <c r="N4" s="87">
        <v>5</v>
      </c>
      <c r="O4" s="87">
        <v>5</v>
      </c>
    </row>
    <row r="5" spans="1:15">
      <c r="A5" s="82" t="s">
        <v>16</v>
      </c>
      <c r="B5" s="84" t="s">
        <v>50</v>
      </c>
      <c r="C5" s="87">
        <v>5</v>
      </c>
      <c r="D5" s="87">
        <v>5</v>
      </c>
      <c r="E5" s="87">
        <v>5</v>
      </c>
      <c r="F5" s="87">
        <v>5</v>
      </c>
      <c r="G5" s="87">
        <v>5</v>
      </c>
      <c r="H5" s="87">
        <v>5</v>
      </c>
      <c r="I5" s="87">
        <v>5</v>
      </c>
      <c r="J5" s="87">
        <v>5</v>
      </c>
      <c r="K5" s="87">
        <v>5</v>
      </c>
      <c r="L5" s="87">
        <v>5</v>
      </c>
      <c r="M5" s="87">
        <v>5</v>
      </c>
      <c r="N5" s="87">
        <v>5</v>
      </c>
      <c r="O5" s="87">
        <v>5</v>
      </c>
    </row>
    <row r="6" spans="1:15">
      <c r="A6" s="82" t="s">
        <v>18</v>
      </c>
      <c r="B6" s="12" t="s">
        <v>50</v>
      </c>
      <c r="C6" s="87">
        <v>5</v>
      </c>
      <c r="D6" s="87">
        <v>5</v>
      </c>
      <c r="E6" s="87">
        <v>5</v>
      </c>
      <c r="F6" s="87">
        <v>5</v>
      </c>
      <c r="G6" s="87">
        <v>5</v>
      </c>
      <c r="H6" s="87">
        <v>5</v>
      </c>
      <c r="I6" s="87">
        <v>5</v>
      </c>
      <c r="J6" s="87">
        <v>5</v>
      </c>
      <c r="K6" s="87">
        <v>5</v>
      </c>
      <c r="L6" s="87">
        <v>5</v>
      </c>
      <c r="M6" s="87">
        <v>5</v>
      </c>
      <c r="N6" s="87">
        <v>5</v>
      </c>
      <c r="O6" s="87">
        <v>5</v>
      </c>
    </row>
    <row r="7" spans="1:15">
      <c r="A7" s="82" t="s">
        <v>19</v>
      </c>
      <c r="B7" s="85" t="s">
        <v>50</v>
      </c>
      <c r="C7" s="87">
        <v>5</v>
      </c>
      <c r="D7" s="87">
        <v>5</v>
      </c>
      <c r="E7" s="87">
        <v>5</v>
      </c>
      <c r="F7" s="87">
        <v>5</v>
      </c>
      <c r="G7" s="87">
        <v>5</v>
      </c>
      <c r="H7" s="87">
        <v>5</v>
      </c>
      <c r="I7" s="87">
        <v>5</v>
      </c>
      <c r="J7" s="87">
        <v>5</v>
      </c>
      <c r="K7" s="87">
        <v>5</v>
      </c>
      <c r="L7" s="87">
        <v>5</v>
      </c>
      <c r="M7" s="87">
        <v>5</v>
      </c>
      <c r="N7" s="87">
        <v>5</v>
      </c>
      <c r="O7" s="87">
        <v>5</v>
      </c>
    </row>
    <row r="8" spans="1:15">
      <c r="A8" s="82" t="s">
        <v>20</v>
      </c>
      <c r="B8" s="12" t="s">
        <v>50</v>
      </c>
      <c r="C8" s="87">
        <v>5</v>
      </c>
      <c r="D8" s="87">
        <v>5</v>
      </c>
      <c r="E8" s="87">
        <v>5</v>
      </c>
      <c r="F8" s="87">
        <v>5</v>
      </c>
      <c r="G8" s="87">
        <v>5</v>
      </c>
      <c r="H8" s="87">
        <v>5</v>
      </c>
      <c r="I8" s="87">
        <v>5</v>
      </c>
      <c r="J8" s="87">
        <v>5</v>
      </c>
      <c r="K8" s="87">
        <v>5</v>
      </c>
      <c r="L8" s="87">
        <v>5</v>
      </c>
      <c r="M8" s="87">
        <v>5</v>
      </c>
      <c r="N8" s="87">
        <v>5</v>
      </c>
      <c r="O8" s="87">
        <v>5</v>
      </c>
    </row>
    <row r="9" spans="1:15">
      <c r="A9" s="82" t="s">
        <v>21</v>
      </c>
      <c r="B9" s="85" t="s">
        <v>50</v>
      </c>
      <c r="C9" s="87">
        <v>5</v>
      </c>
      <c r="D9" s="87">
        <v>5</v>
      </c>
      <c r="E9" s="87">
        <v>5</v>
      </c>
      <c r="F9" s="87">
        <v>5</v>
      </c>
      <c r="G9" s="87">
        <v>5</v>
      </c>
      <c r="H9" s="87">
        <v>5</v>
      </c>
      <c r="I9" s="87">
        <v>5</v>
      </c>
      <c r="J9" s="87">
        <v>5</v>
      </c>
      <c r="K9" s="87">
        <v>5</v>
      </c>
      <c r="L9" s="87">
        <v>5</v>
      </c>
      <c r="M9" s="87">
        <v>5</v>
      </c>
      <c r="N9" s="87">
        <v>5</v>
      </c>
      <c r="O9" s="87">
        <v>5</v>
      </c>
    </row>
    <row r="10" spans="1:15">
      <c r="A10" s="83" t="s">
        <v>17</v>
      </c>
      <c r="B10" s="12" t="s">
        <v>44</v>
      </c>
      <c r="C10" s="87">
        <v>5</v>
      </c>
      <c r="D10" s="87">
        <v>5</v>
      </c>
      <c r="E10" s="87">
        <v>5</v>
      </c>
      <c r="F10" s="87">
        <v>5</v>
      </c>
      <c r="G10" s="87">
        <v>5</v>
      </c>
      <c r="H10" s="87">
        <v>5</v>
      </c>
      <c r="I10" s="87">
        <v>5</v>
      </c>
      <c r="J10" s="87">
        <v>5</v>
      </c>
      <c r="K10" s="87">
        <v>5</v>
      </c>
      <c r="L10" s="87">
        <v>5</v>
      </c>
      <c r="M10" s="87">
        <v>5</v>
      </c>
      <c r="N10" s="87">
        <v>5</v>
      </c>
      <c r="O10" s="87">
        <v>5</v>
      </c>
    </row>
    <row r="11" spans="1:15">
      <c r="A11" s="82" t="s">
        <v>24</v>
      </c>
      <c r="B11" s="12" t="s">
        <v>50</v>
      </c>
      <c r="C11" s="87">
        <v>5</v>
      </c>
      <c r="D11" s="87">
        <v>5</v>
      </c>
      <c r="E11" s="87">
        <v>5</v>
      </c>
      <c r="F11" s="87">
        <v>5</v>
      </c>
      <c r="G11" s="87">
        <v>5</v>
      </c>
      <c r="H11" s="87">
        <v>5</v>
      </c>
      <c r="I11" s="87">
        <v>5</v>
      </c>
      <c r="J11" s="87">
        <v>5</v>
      </c>
      <c r="K11" s="87">
        <v>5</v>
      </c>
      <c r="L11" s="87">
        <v>5</v>
      </c>
      <c r="M11" s="87">
        <v>5</v>
      </c>
      <c r="N11" s="87">
        <v>5</v>
      </c>
      <c r="O11" s="87">
        <v>5</v>
      </c>
    </row>
    <row r="12" spans="1:15">
      <c r="A12" s="82" t="s">
        <v>22</v>
      </c>
      <c r="B12" s="84" t="s">
        <v>50</v>
      </c>
      <c r="C12" s="87">
        <v>5</v>
      </c>
      <c r="D12" s="87">
        <v>5</v>
      </c>
      <c r="E12" s="87">
        <v>5</v>
      </c>
      <c r="F12" s="87">
        <v>5</v>
      </c>
      <c r="G12" s="87">
        <v>5</v>
      </c>
      <c r="H12" s="87">
        <v>5</v>
      </c>
      <c r="I12" s="87">
        <v>5</v>
      </c>
      <c r="J12" s="87">
        <v>5</v>
      </c>
      <c r="K12" s="87">
        <v>5</v>
      </c>
      <c r="L12" s="87">
        <v>5</v>
      </c>
      <c r="M12" s="87">
        <v>5</v>
      </c>
      <c r="N12" s="87">
        <v>5</v>
      </c>
      <c r="O12" s="87">
        <v>5</v>
      </c>
    </row>
    <row r="13" spans="1:15">
      <c r="A13" s="82" t="s">
        <v>28</v>
      </c>
      <c r="B13" s="12" t="s">
        <v>50</v>
      </c>
      <c r="C13" s="87">
        <v>5</v>
      </c>
      <c r="D13" s="87">
        <v>5</v>
      </c>
      <c r="E13" s="87">
        <v>5</v>
      </c>
      <c r="F13" s="87">
        <v>5</v>
      </c>
      <c r="G13" s="87">
        <v>5</v>
      </c>
      <c r="H13" s="87">
        <v>5</v>
      </c>
      <c r="I13" s="87">
        <v>5</v>
      </c>
      <c r="J13" s="87">
        <v>5</v>
      </c>
      <c r="K13" s="87">
        <v>5</v>
      </c>
      <c r="L13" s="87">
        <v>5</v>
      </c>
      <c r="M13" s="87">
        <v>5</v>
      </c>
      <c r="N13" s="87">
        <v>5</v>
      </c>
      <c r="O13" s="87">
        <v>5</v>
      </c>
    </row>
    <row r="14" spans="1:15">
      <c r="A14" s="82" t="s">
        <v>29</v>
      </c>
      <c r="B14" s="12" t="s">
        <v>50</v>
      </c>
      <c r="C14" s="87">
        <v>5</v>
      </c>
      <c r="D14" s="87">
        <v>5</v>
      </c>
      <c r="E14" s="87">
        <v>5</v>
      </c>
      <c r="F14" s="87">
        <v>5</v>
      </c>
      <c r="G14" s="87">
        <v>5</v>
      </c>
      <c r="H14" s="87">
        <v>5</v>
      </c>
      <c r="I14" s="87">
        <v>5</v>
      </c>
      <c r="J14" s="87">
        <v>5</v>
      </c>
      <c r="K14" s="87">
        <v>5</v>
      </c>
      <c r="L14" s="87">
        <v>5</v>
      </c>
      <c r="M14" s="87">
        <v>5</v>
      </c>
      <c r="N14" s="87">
        <v>5</v>
      </c>
      <c r="O14" s="87">
        <v>5</v>
      </c>
    </row>
    <row r="15" spans="1:15">
      <c r="A15" s="82" t="s">
        <v>32</v>
      </c>
      <c r="B15" s="12" t="s">
        <v>50</v>
      </c>
      <c r="C15" s="87">
        <v>5</v>
      </c>
      <c r="D15" s="87">
        <v>5</v>
      </c>
      <c r="E15" s="87">
        <v>5</v>
      </c>
      <c r="F15" s="87">
        <v>5</v>
      </c>
      <c r="G15" s="87">
        <v>5</v>
      </c>
      <c r="H15" s="87">
        <v>5</v>
      </c>
      <c r="I15" s="87">
        <v>5</v>
      </c>
      <c r="J15" s="87">
        <v>5</v>
      </c>
      <c r="K15" s="87">
        <v>5</v>
      </c>
      <c r="L15" s="87">
        <v>5</v>
      </c>
      <c r="M15" s="87">
        <v>5</v>
      </c>
      <c r="N15" s="87">
        <v>5</v>
      </c>
      <c r="O15" s="87">
        <v>5</v>
      </c>
    </row>
    <row r="16" spans="1:15">
      <c r="A16" s="82" t="s">
        <v>33</v>
      </c>
      <c r="B16" s="85" t="s">
        <v>50</v>
      </c>
      <c r="C16" s="87">
        <v>5</v>
      </c>
      <c r="D16" s="87">
        <v>5</v>
      </c>
      <c r="E16" s="87">
        <v>5</v>
      </c>
      <c r="F16" s="87">
        <v>5</v>
      </c>
      <c r="G16" s="87">
        <v>5</v>
      </c>
      <c r="H16" s="87">
        <v>5</v>
      </c>
      <c r="I16" s="87">
        <v>5</v>
      </c>
      <c r="J16" s="87">
        <v>5</v>
      </c>
      <c r="K16" s="87">
        <v>5</v>
      </c>
      <c r="L16" s="87">
        <v>5</v>
      </c>
      <c r="M16" s="87">
        <v>5</v>
      </c>
      <c r="N16" s="87">
        <v>5</v>
      </c>
      <c r="O16" s="87">
        <v>5</v>
      </c>
    </row>
    <row r="17" spans="1:15">
      <c r="A17" s="82" t="s">
        <v>34</v>
      </c>
      <c r="B17" s="85" t="s">
        <v>50</v>
      </c>
      <c r="C17" s="87">
        <v>5</v>
      </c>
      <c r="D17" s="87">
        <v>5</v>
      </c>
      <c r="E17" s="87">
        <v>5</v>
      </c>
      <c r="F17" s="87">
        <v>5</v>
      </c>
      <c r="G17" s="87">
        <v>5</v>
      </c>
      <c r="H17" s="87">
        <v>5</v>
      </c>
      <c r="I17" s="87">
        <v>5</v>
      </c>
      <c r="J17" s="87">
        <v>5</v>
      </c>
      <c r="K17" s="87">
        <v>5</v>
      </c>
      <c r="L17" s="87">
        <v>5</v>
      </c>
      <c r="M17" s="87">
        <v>5</v>
      </c>
      <c r="N17" s="87">
        <v>5</v>
      </c>
      <c r="O17" s="87">
        <v>5</v>
      </c>
    </row>
    <row r="18" spans="1:15">
      <c r="A18" s="82" t="s">
        <v>36</v>
      </c>
      <c r="B18" s="85" t="s">
        <v>50</v>
      </c>
      <c r="C18" s="87">
        <v>5</v>
      </c>
      <c r="D18" s="87">
        <v>5</v>
      </c>
      <c r="E18" s="87">
        <v>5</v>
      </c>
      <c r="F18" s="87">
        <v>5</v>
      </c>
      <c r="G18" s="87">
        <v>5</v>
      </c>
      <c r="H18" s="87">
        <v>5</v>
      </c>
      <c r="I18" s="87">
        <v>5</v>
      </c>
      <c r="J18" s="87">
        <v>5</v>
      </c>
      <c r="K18" s="87">
        <v>5</v>
      </c>
      <c r="L18" s="87">
        <v>5</v>
      </c>
      <c r="M18" s="87">
        <v>5</v>
      </c>
      <c r="N18" s="87">
        <v>5</v>
      </c>
      <c r="O18" s="87">
        <v>5</v>
      </c>
    </row>
    <row r="19" spans="1:15">
      <c r="A19" s="82" t="s">
        <v>37</v>
      </c>
      <c r="B19" s="12" t="s">
        <v>50</v>
      </c>
      <c r="C19" s="87">
        <v>5</v>
      </c>
      <c r="D19" s="87">
        <v>5</v>
      </c>
      <c r="E19" s="87">
        <v>5</v>
      </c>
      <c r="F19" s="87">
        <v>5</v>
      </c>
      <c r="G19" s="87">
        <v>5</v>
      </c>
      <c r="H19" s="87">
        <v>5</v>
      </c>
      <c r="I19" s="87">
        <v>5</v>
      </c>
      <c r="J19" s="87">
        <v>5</v>
      </c>
      <c r="K19" s="87">
        <v>5</v>
      </c>
      <c r="L19" s="87">
        <v>5</v>
      </c>
      <c r="M19" s="87">
        <v>5</v>
      </c>
      <c r="N19" s="87">
        <v>5</v>
      </c>
      <c r="O19" s="87">
        <v>5</v>
      </c>
    </row>
    <row r="20" spans="1:15">
      <c r="A20" s="82" t="s">
        <v>38</v>
      </c>
      <c r="B20" s="85" t="s">
        <v>50</v>
      </c>
      <c r="C20" s="87">
        <v>5</v>
      </c>
      <c r="D20" s="87">
        <v>5</v>
      </c>
      <c r="E20" s="87">
        <v>5</v>
      </c>
      <c r="F20" s="87">
        <v>5</v>
      </c>
      <c r="G20" s="87">
        <v>5</v>
      </c>
      <c r="H20" s="87">
        <v>5</v>
      </c>
      <c r="I20" s="87">
        <v>5</v>
      </c>
      <c r="J20" s="87">
        <v>5</v>
      </c>
      <c r="K20" s="87">
        <v>5</v>
      </c>
      <c r="L20" s="87">
        <v>5</v>
      </c>
      <c r="M20" s="87">
        <v>5</v>
      </c>
      <c r="N20" s="87">
        <v>5</v>
      </c>
      <c r="O20" s="87">
        <v>5</v>
      </c>
    </row>
    <row r="21" spans="1:15">
      <c r="A21" s="82" t="s">
        <v>39</v>
      </c>
      <c r="B21" s="85" t="s">
        <v>50</v>
      </c>
      <c r="C21" s="87">
        <v>5</v>
      </c>
      <c r="D21" s="87">
        <v>5</v>
      </c>
      <c r="E21" s="87">
        <v>5</v>
      </c>
      <c r="F21" s="87">
        <v>5</v>
      </c>
      <c r="G21" s="87">
        <v>5</v>
      </c>
      <c r="H21" s="87">
        <v>5</v>
      </c>
      <c r="I21" s="87">
        <v>5</v>
      </c>
      <c r="J21" s="87">
        <v>5</v>
      </c>
      <c r="K21" s="87">
        <v>5</v>
      </c>
      <c r="L21" s="87">
        <v>5</v>
      </c>
      <c r="M21" s="87">
        <v>5</v>
      </c>
      <c r="N21" s="87">
        <v>5</v>
      </c>
      <c r="O21" s="87">
        <v>5</v>
      </c>
    </row>
    <row r="22" spans="1:15">
      <c r="A22" s="82" t="s">
        <v>26</v>
      </c>
      <c r="B22" s="12" t="s">
        <v>50</v>
      </c>
      <c r="C22" s="87">
        <v>5</v>
      </c>
      <c r="D22" s="87">
        <v>5</v>
      </c>
      <c r="E22" s="87">
        <v>5</v>
      </c>
      <c r="F22" s="87">
        <v>5</v>
      </c>
      <c r="G22" s="87">
        <v>5</v>
      </c>
      <c r="H22" s="87">
        <v>5</v>
      </c>
      <c r="I22" s="87">
        <v>5</v>
      </c>
      <c r="J22" s="87">
        <v>5</v>
      </c>
      <c r="K22" s="87">
        <v>5</v>
      </c>
      <c r="L22" s="87">
        <v>5</v>
      </c>
      <c r="M22" s="87">
        <v>5</v>
      </c>
      <c r="N22" s="87">
        <v>5</v>
      </c>
      <c r="O22" s="87">
        <v>5</v>
      </c>
    </row>
    <row r="23" spans="1:15">
      <c r="A23" s="83" t="s">
        <v>27</v>
      </c>
      <c r="B23" s="85" t="s">
        <v>44</v>
      </c>
      <c r="C23" s="87">
        <v>5</v>
      </c>
      <c r="D23" s="87">
        <v>5</v>
      </c>
      <c r="E23" s="87">
        <v>5</v>
      </c>
      <c r="F23" s="87">
        <v>5</v>
      </c>
      <c r="G23" s="87">
        <v>5</v>
      </c>
      <c r="H23" s="87">
        <v>5</v>
      </c>
      <c r="I23" s="87">
        <v>5</v>
      </c>
      <c r="J23" s="87">
        <v>5</v>
      </c>
      <c r="K23" s="87">
        <v>5</v>
      </c>
      <c r="L23" s="87">
        <v>5</v>
      </c>
      <c r="M23" s="87">
        <v>5</v>
      </c>
      <c r="N23" s="87">
        <v>5</v>
      </c>
      <c r="O23" s="87">
        <v>5</v>
      </c>
    </row>
    <row r="24" spans="1:15">
      <c r="A24" s="82" t="s">
        <v>30</v>
      </c>
      <c r="B24" s="85" t="s">
        <v>50</v>
      </c>
      <c r="C24" s="87">
        <v>5</v>
      </c>
      <c r="D24" s="87">
        <v>5</v>
      </c>
      <c r="E24" s="87">
        <v>5</v>
      </c>
      <c r="F24" s="87">
        <v>5</v>
      </c>
      <c r="G24" s="87">
        <v>5</v>
      </c>
      <c r="H24" s="87">
        <v>5</v>
      </c>
      <c r="I24" s="87">
        <v>5</v>
      </c>
      <c r="J24" s="87">
        <v>5</v>
      </c>
      <c r="K24" s="87">
        <v>5</v>
      </c>
      <c r="L24" s="87">
        <v>5</v>
      </c>
      <c r="M24" s="87">
        <v>5</v>
      </c>
      <c r="N24" s="87">
        <v>5</v>
      </c>
      <c r="O24" s="87">
        <v>5</v>
      </c>
    </row>
    <row r="25" spans="1:15">
      <c r="A25" s="83" t="s">
        <v>31</v>
      </c>
      <c r="B25" s="85" t="s">
        <v>44</v>
      </c>
      <c r="C25" s="87">
        <v>5</v>
      </c>
      <c r="D25" s="87">
        <v>5</v>
      </c>
      <c r="E25" s="87">
        <v>5</v>
      </c>
      <c r="F25" s="87">
        <v>5</v>
      </c>
      <c r="G25" s="87">
        <v>5</v>
      </c>
      <c r="H25" s="87">
        <v>5</v>
      </c>
      <c r="I25" s="87">
        <v>5</v>
      </c>
      <c r="J25" s="87">
        <v>5</v>
      </c>
      <c r="K25" s="87">
        <v>5</v>
      </c>
      <c r="L25" s="87">
        <v>5</v>
      </c>
      <c r="M25" s="87">
        <v>5</v>
      </c>
      <c r="N25" s="87">
        <v>5</v>
      </c>
      <c r="O25" s="87">
        <v>5</v>
      </c>
    </row>
    <row r="26" spans="1:15">
      <c r="A26" s="82" t="s">
        <v>35</v>
      </c>
      <c r="B26" s="12" t="s">
        <v>50</v>
      </c>
      <c r="C26" s="87">
        <v>5</v>
      </c>
      <c r="D26" s="87">
        <v>5</v>
      </c>
      <c r="E26" s="87">
        <v>5</v>
      </c>
      <c r="F26" s="87">
        <v>5</v>
      </c>
      <c r="G26" s="87">
        <v>5</v>
      </c>
      <c r="H26" s="87">
        <v>5</v>
      </c>
      <c r="I26" s="87">
        <v>5</v>
      </c>
      <c r="J26" s="87">
        <v>5</v>
      </c>
      <c r="K26" s="87">
        <v>5</v>
      </c>
      <c r="L26" s="87">
        <v>5</v>
      </c>
      <c r="M26" s="87">
        <v>5</v>
      </c>
      <c r="N26" s="87">
        <v>5</v>
      </c>
      <c r="O26" s="87">
        <v>5</v>
      </c>
    </row>
    <row r="27" spans="1:15">
      <c r="A27" s="82" t="s">
        <v>40</v>
      </c>
      <c r="B27" s="85" t="s">
        <v>50</v>
      </c>
      <c r="C27" s="87">
        <v>5</v>
      </c>
      <c r="D27" s="87">
        <v>5</v>
      </c>
      <c r="E27" s="87">
        <v>5</v>
      </c>
      <c r="F27" s="87">
        <v>5</v>
      </c>
      <c r="G27" s="87">
        <v>5</v>
      </c>
      <c r="H27" s="87">
        <v>5</v>
      </c>
      <c r="I27" s="87">
        <v>5</v>
      </c>
      <c r="J27" s="87">
        <v>5</v>
      </c>
      <c r="K27" s="87">
        <v>5</v>
      </c>
      <c r="L27" s="87">
        <v>5</v>
      </c>
      <c r="M27" s="87">
        <v>5</v>
      </c>
      <c r="N27" s="87">
        <v>5</v>
      </c>
      <c r="O27" s="87">
        <v>5</v>
      </c>
    </row>
    <row r="28" spans="1:15">
      <c r="A28" s="82" t="s">
        <v>41</v>
      </c>
      <c r="B28" s="12" t="s">
        <v>50</v>
      </c>
      <c r="C28" s="87">
        <v>5</v>
      </c>
      <c r="D28" s="87">
        <v>5</v>
      </c>
      <c r="E28" s="87">
        <v>5</v>
      </c>
      <c r="F28" s="87">
        <v>5</v>
      </c>
      <c r="G28" s="87">
        <v>5</v>
      </c>
      <c r="H28" s="87">
        <v>5</v>
      </c>
      <c r="I28" s="87">
        <v>5</v>
      </c>
      <c r="J28" s="87">
        <v>5</v>
      </c>
      <c r="K28" s="87">
        <v>5</v>
      </c>
      <c r="L28" s="87">
        <v>5</v>
      </c>
      <c r="M28" s="87">
        <v>5</v>
      </c>
      <c r="N28" s="87">
        <v>5</v>
      </c>
      <c r="O28" s="87">
        <v>5</v>
      </c>
    </row>
    <row r="29" spans="1:15">
      <c r="A29" s="82" t="s">
        <v>42</v>
      </c>
      <c r="B29" s="85" t="s">
        <v>50</v>
      </c>
      <c r="C29" s="87">
        <v>5</v>
      </c>
      <c r="D29" s="87">
        <v>5</v>
      </c>
      <c r="E29" s="87">
        <v>5</v>
      </c>
      <c r="F29" s="87">
        <v>5</v>
      </c>
      <c r="G29" s="87">
        <v>5</v>
      </c>
      <c r="H29" s="87">
        <v>5</v>
      </c>
      <c r="I29" s="87">
        <v>5</v>
      </c>
      <c r="J29" s="87">
        <v>5</v>
      </c>
      <c r="K29" s="87">
        <v>5</v>
      </c>
      <c r="L29" s="87">
        <v>5</v>
      </c>
      <c r="M29" s="87">
        <v>5</v>
      </c>
      <c r="N29" s="87">
        <v>5</v>
      </c>
      <c r="O29" s="87">
        <v>5</v>
      </c>
    </row>
    <row r="30" spans="1:15">
      <c r="A30" s="82" t="s">
        <v>25</v>
      </c>
      <c r="B30" s="12" t="s">
        <v>50</v>
      </c>
      <c r="C30" s="87">
        <v>5</v>
      </c>
      <c r="D30" s="87">
        <v>5</v>
      </c>
      <c r="E30" s="87">
        <v>5</v>
      </c>
      <c r="F30" s="87">
        <v>5</v>
      </c>
      <c r="G30" s="87">
        <v>5</v>
      </c>
      <c r="H30" s="87">
        <v>5</v>
      </c>
      <c r="I30" s="87">
        <v>5</v>
      </c>
      <c r="J30" s="87">
        <v>5</v>
      </c>
      <c r="K30" s="87">
        <v>5</v>
      </c>
      <c r="L30" s="87">
        <v>5</v>
      </c>
      <c r="M30" s="87">
        <v>5</v>
      </c>
      <c r="N30" s="87">
        <v>5</v>
      </c>
      <c r="O30" s="87">
        <v>5</v>
      </c>
    </row>
  </sheetData>
  <sheetProtection algorithmName="SHA-512" hashValue="2P2RFoYRVLOhTC8dsOGYlqZb3RFec3P8AUQ1e24MeJ1yxoc8V5LItqXLSOtNdr2sW7W20hFS4HN/p/+5gk7HEg==" saltValue="E2l9JzUN1aRaihvVY44SmA==" spinCount="100000" sheet="1" formatCells="0" formatColumns="0" formatRows="0" insertColumns="0" insertRows="0" autoFilter="0"/>
  <autoFilter ref="A1:O30" xr:uid="{00000000-0009-0000-0000-000001000000}">
    <sortState xmlns:xlrd2="http://schemas.microsoft.com/office/spreadsheetml/2017/richdata2" ref="A2:O30">
      <sortCondition ref="A1:A30"/>
    </sortState>
  </autoFilter>
  <printOptions gridLines="1" gridLinesSet="0"/>
  <pageMargins left="0.75" right="0.75" top="1" bottom="1" header="0.5" footer="0.5"/>
  <pageSetup fitToWidth="0"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31"/>
  <sheetViews>
    <sheetView workbookViewId="0">
      <pane xSplit="4" ySplit="2" topLeftCell="E3" activePane="bottomRight" state="frozen"/>
      <selection pane="topRight" activeCell="G1" sqref="G1"/>
      <selection pane="bottomLeft" activeCell="A2" sqref="A2"/>
      <selection pane="bottomRight" activeCell="E3" sqref="E3"/>
    </sheetView>
  </sheetViews>
  <sheetFormatPr defaultRowHeight="12.75"/>
  <cols>
    <col min="1" max="1" width="12.5703125" style="75" bestFit="1" customWidth="1"/>
    <col min="2" max="2" width="8" style="75" bestFit="1" customWidth="1"/>
    <col min="3" max="3" width="13.28515625" style="76" bestFit="1" customWidth="1"/>
    <col min="4" max="5" width="11.140625" style="76" bestFit="1" customWidth="1"/>
    <col min="6" max="6" width="8.7109375" style="75" bestFit="1" customWidth="1"/>
    <col min="7" max="7" width="14.42578125" style="76" bestFit="1" customWidth="1"/>
    <col min="8" max="8" width="14.28515625" style="76" bestFit="1" customWidth="1"/>
    <col min="9" max="10" width="15.42578125" style="76" bestFit="1" customWidth="1"/>
    <col min="11" max="11" width="16.42578125" style="76" bestFit="1" customWidth="1"/>
    <col min="12" max="12" width="14.42578125" style="76" bestFit="1" customWidth="1"/>
    <col min="13" max="13" width="14.28515625" style="76" bestFit="1" customWidth="1"/>
    <col min="14" max="14" width="15.42578125" style="76" bestFit="1" customWidth="1"/>
    <col min="15" max="15" width="16.42578125" style="76" customWidth="1"/>
    <col min="16" max="16" width="15.42578125" style="76" bestFit="1" customWidth="1"/>
    <col min="17" max="17" width="9.7109375" style="75" bestFit="1" customWidth="1"/>
    <col min="18" max="18" width="12.7109375" style="75" bestFit="1" customWidth="1"/>
    <col min="19" max="16384" width="9.140625" style="75"/>
  </cols>
  <sheetData>
    <row r="1" spans="1:18">
      <c r="B1" s="149" t="s">
        <v>166</v>
      </c>
      <c r="C1" s="149"/>
      <c r="D1" s="149"/>
      <c r="E1" s="149"/>
      <c r="F1" s="149"/>
      <c r="I1" s="75"/>
      <c r="J1" s="75"/>
      <c r="K1" s="75"/>
      <c r="L1" s="75"/>
      <c r="M1" s="75"/>
      <c r="N1" s="75"/>
      <c r="O1" s="75"/>
      <c r="P1" s="75"/>
    </row>
    <row r="2" spans="1:18">
      <c r="A2" s="77" t="s">
        <v>0</v>
      </c>
      <c r="B2" s="77" t="s">
        <v>43</v>
      </c>
      <c r="C2" s="78" t="s">
        <v>55</v>
      </c>
      <c r="D2" s="78" t="s">
        <v>56</v>
      </c>
      <c r="E2" s="78" t="s">
        <v>56</v>
      </c>
      <c r="F2" s="77" t="s">
        <v>57</v>
      </c>
      <c r="G2" s="78" t="s">
        <v>92</v>
      </c>
      <c r="H2" s="78" t="s">
        <v>93</v>
      </c>
      <c r="I2" s="78" t="s">
        <v>94</v>
      </c>
      <c r="J2" s="78" t="s">
        <v>95</v>
      </c>
      <c r="K2" s="78" t="s">
        <v>96</v>
      </c>
      <c r="L2" s="78" t="s">
        <v>129</v>
      </c>
      <c r="M2" s="78" t="s">
        <v>130</v>
      </c>
      <c r="N2" s="78" t="s">
        <v>131</v>
      </c>
      <c r="O2" s="78" t="s">
        <v>132</v>
      </c>
      <c r="P2" s="78" t="s">
        <v>133</v>
      </c>
      <c r="Q2" s="6" t="s">
        <v>209</v>
      </c>
      <c r="R2" s="40" t="s">
        <v>210</v>
      </c>
    </row>
    <row r="3" spans="1:18">
      <c r="A3" s="82" t="s">
        <v>23</v>
      </c>
      <c r="B3" s="12" t="s">
        <v>50</v>
      </c>
      <c r="C3" s="87">
        <v>5</v>
      </c>
      <c r="D3" s="79">
        <f t="shared" ref="D3" si="0">0.693/C3</f>
        <v>0.1386</v>
      </c>
      <c r="E3" s="76">
        <v>25.294499999999999</v>
      </c>
      <c r="F3" s="75">
        <v>225</v>
      </c>
      <c r="G3" s="80">
        <v>1.00727426068</v>
      </c>
      <c r="H3" s="80">
        <v>1.83144858836</v>
      </c>
      <c r="I3" s="80">
        <v>6.6615997756500001</v>
      </c>
      <c r="J3" s="80">
        <v>6.9425441453700003</v>
      </c>
      <c r="K3" s="80">
        <v>0.69438699857800001</v>
      </c>
      <c r="L3" s="75">
        <v>0.75528654007399998</v>
      </c>
      <c r="M3" s="75">
        <v>0.23962603377200001</v>
      </c>
      <c r="N3" s="75">
        <v>0.454394609093</v>
      </c>
      <c r="O3" s="75">
        <v>0.476007952091</v>
      </c>
      <c r="P3" s="75">
        <v>0.402038736954</v>
      </c>
      <c r="Q3">
        <v>1</v>
      </c>
      <c r="R3" s="81">
        <v>0.55500000000000005</v>
      </c>
    </row>
    <row r="4" spans="1:18">
      <c r="A4" s="83" t="s">
        <v>14</v>
      </c>
      <c r="B4" s="12" t="s">
        <v>44</v>
      </c>
      <c r="C4" s="87">
        <v>5</v>
      </c>
      <c r="D4" s="79">
        <f t="shared" ref="D4" si="1">0.693/C4</f>
        <v>0.1386</v>
      </c>
      <c r="E4" s="76">
        <v>1.6034243405830999E-3</v>
      </c>
      <c r="F4" s="75">
        <v>241</v>
      </c>
      <c r="G4" s="80">
        <v>2.4574094778271798</v>
      </c>
      <c r="H4" s="80">
        <v>1.2063525080001301</v>
      </c>
      <c r="I4" s="80">
        <v>3.7667092826225899</v>
      </c>
      <c r="J4" s="80">
        <v>7.2013897618151796</v>
      </c>
      <c r="K4" s="80">
        <v>1.23833421492427</v>
      </c>
      <c r="L4" s="80">
        <v>1.06335753267336</v>
      </c>
      <c r="M4" s="80">
        <v>0.46840267409000003</v>
      </c>
      <c r="N4" s="80">
        <v>1.09523020246886</v>
      </c>
      <c r="O4" s="80">
        <v>0.98684875753801105</v>
      </c>
      <c r="P4" s="80">
        <v>0.63304049222924197</v>
      </c>
      <c r="Q4">
        <v>1</v>
      </c>
      <c r="R4" s="81">
        <v>0.50600000000000001</v>
      </c>
    </row>
    <row r="5" spans="1:18">
      <c r="A5" s="82" t="s">
        <v>15</v>
      </c>
      <c r="B5" s="12" t="s">
        <v>50</v>
      </c>
      <c r="C5" s="87">
        <v>5</v>
      </c>
      <c r="D5" s="79">
        <f t="shared" ref="D5:D8" si="2">0.693/C5</f>
        <v>0.1386</v>
      </c>
      <c r="E5" s="76">
        <v>676608297.21361995</v>
      </c>
      <c r="F5" s="75">
        <v>217</v>
      </c>
      <c r="G5" s="80">
        <v>2.5723759651299998E-3</v>
      </c>
      <c r="H5" s="80">
        <v>2.5540650288599998E-3</v>
      </c>
      <c r="I5" s="80">
        <v>7.94253924396E-3</v>
      </c>
      <c r="J5" s="80">
        <v>8.6732974951299995E-3</v>
      </c>
      <c r="K5" s="80">
        <v>3.9587204611700004E-3</v>
      </c>
      <c r="L5" s="75">
        <v>1.4835899677900001E-3</v>
      </c>
      <c r="M5" s="75">
        <v>1.2686982685E-3</v>
      </c>
      <c r="N5" s="75">
        <v>1.56840000952E-3</v>
      </c>
      <c r="O5" s="75">
        <v>1.49621946652E-3</v>
      </c>
      <c r="P5" s="75">
        <v>1.3406134541000001E-3</v>
      </c>
      <c r="Q5">
        <v>1</v>
      </c>
      <c r="R5" s="81">
        <v>0.27600000000000002</v>
      </c>
    </row>
    <row r="6" spans="1:18">
      <c r="A6" s="82" t="s">
        <v>16</v>
      </c>
      <c r="B6" s="84" t="s">
        <v>50</v>
      </c>
      <c r="C6" s="87">
        <v>5</v>
      </c>
      <c r="D6" s="79">
        <f t="shared" si="2"/>
        <v>0.1386</v>
      </c>
      <c r="E6" s="76">
        <v>14569632</v>
      </c>
      <c r="F6" s="75">
        <v>218</v>
      </c>
      <c r="G6" s="80">
        <v>0</v>
      </c>
      <c r="H6" s="80">
        <v>0</v>
      </c>
      <c r="I6" s="80">
        <v>0</v>
      </c>
      <c r="J6" s="80">
        <v>0</v>
      </c>
      <c r="K6" s="80">
        <v>0</v>
      </c>
      <c r="L6" s="75">
        <v>0</v>
      </c>
      <c r="M6" s="75">
        <v>0</v>
      </c>
      <c r="N6" s="75">
        <v>0</v>
      </c>
      <c r="O6" s="75">
        <v>0</v>
      </c>
      <c r="P6" s="75">
        <v>0</v>
      </c>
      <c r="Q6">
        <v>0.9</v>
      </c>
      <c r="R6" s="81">
        <v>0.9</v>
      </c>
    </row>
    <row r="7" spans="1:18">
      <c r="A7" s="82" t="s">
        <v>18</v>
      </c>
      <c r="B7" s="12" t="s">
        <v>50</v>
      </c>
      <c r="C7" s="87">
        <v>5</v>
      </c>
      <c r="D7" s="79">
        <f t="shared" si="2"/>
        <v>0.1386</v>
      </c>
      <c r="E7" s="76">
        <v>142727.58620690001</v>
      </c>
      <c r="F7" s="75">
        <v>137</v>
      </c>
      <c r="G7" s="80">
        <v>1.56826889579</v>
      </c>
      <c r="H7" s="80">
        <v>2.83494873248</v>
      </c>
      <c r="I7" s="80">
        <v>4.58061982101</v>
      </c>
      <c r="J7" s="80">
        <v>7.6203998637800003</v>
      </c>
      <c r="K7" s="80">
        <v>5.8552947400599997</v>
      </c>
      <c r="L7" s="75">
        <v>0.92207225901900003</v>
      </c>
      <c r="M7" s="75">
        <v>1.2589442387000001</v>
      </c>
      <c r="N7" s="75">
        <v>1.2099353022399999</v>
      </c>
      <c r="O7" s="75">
        <v>1.30458189885</v>
      </c>
      <c r="P7" s="75">
        <v>1.0388026769300001</v>
      </c>
      <c r="Q7">
        <v>1</v>
      </c>
      <c r="R7" s="81">
        <v>0.223</v>
      </c>
    </row>
    <row r="8" spans="1:18">
      <c r="A8" s="82" t="s">
        <v>19</v>
      </c>
      <c r="B8" s="85" t="s">
        <v>50</v>
      </c>
      <c r="C8" s="87">
        <v>5</v>
      </c>
      <c r="D8" s="79">
        <f t="shared" si="2"/>
        <v>0.1386</v>
      </c>
      <c r="E8" s="76">
        <v>50.457809694792999</v>
      </c>
      <c r="F8" s="75">
        <v>210</v>
      </c>
      <c r="G8" s="80">
        <v>2.7690609400899999E-6</v>
      </c>
      <c r="H8" s="80">
        <v>3.2283644356199999E-6</v>
      </c>
      <c r="I8" s="80">
        <v>7.1957603888100003E-6</v>
      </c>
      <c r="J8" s="80">
        <v>8.7536733310600001E-6</v>
      </c>
      <c r="K8" s="80">
        <v>4.5662178435399996E-6</v>
      </c>
      <c r="L8" s="75">
        <v>1.5849090302899999E-6</v>
      </c>
      <c r="M8" s="75">
        <v>1.5614781710599999E-6</v>
      </c>
      <c r="N8" s="75">
        <v>1.8441335097300001E-6</v>
      </c>
      <c r="O8" s="75">
        <v>1.84503491795E-6</v>
      </c>
      <c r="P8" s="75">
        <v>1.5632880927700001E-6</v>
      </c>
      <c r="Q8">
        <v>1</v>
      </c>
      <c r="R8" s="81">
        <v>0.25800000000000001</v>
      </c>
    </row>
    <row r="9" spans="1:18">
      <c r="A9" s="82" t="s">
        <v>20</v>
      </c>
      <c r="B9" s="12" t="s">
        <v>50</v>
      </c>
      <c r="C9" s="87">
        <v>5</v>
      </c>
      <c r="D9" s="79">
        <f t="shared" ref="D9:D10" si="3">0.693/C9</f>
        <v>0.1386</v>
      </c>
      <c r="E9" s="76">
        <v>7989.4889230094004</v>
      </c>
      <c r="F9" s="75">
        <v>213</v>
      </c>
      <c r="G9" s="80">
        <v>0.61526930737700003</v>
      </c>
      <c r="H9" s="80">
        <v>0.77372472657199998</v>
      </c>
      <c r="I9" s="80">
        <v>1.6824412151999999</v>
      </c>
      <c r="J9" s="80">
        <v>1.8529521584999999</v>
      </c>
      <c r="K9" s="80">
        <v>1.4909389588299999</v>
      </c>
      <c r="L9" s="75">
        <v>0.36095742847399997</v>
      </c>
      <c r="M9" s="75">
        <v>0.41419297048699999</v>
      </c>
      <c r="N9" s="75">
        <v>0.42534956186599998</v>
      </c>
      <c r="O9" s="75">
        <v>0.46017363809299999</v>
      </c>
      <c r="P9" s="75">
        <v>0.40050150477699997</v>
      </c>
      <c r="Q9">
        <v>1</v>
      </c>
      <c r="R9" s="81">
        <v>0.23499999999999999</v>
      </c>
    </row>
    <row r="10" spans="1:18">
      <c r="A10" s="82" t="s">
        <v>21</v>
      </c>
      <c r="B10" s="85" t="s">
        <v>50</v>
      </c>
      <c r="C10" s="87">
        <v>5</v>
      </c>
      <c r="D10" s="79">
        <f t="shared" si="3"/>
        <v>0.1386</v>
      </c>
      <c r="E10" s="76">
        <v>18303.557788945</v>
      </c>
      <c r="F10" s="75">
        <v>214</v>
      </c>
      <c r="G10" s="80">
        <v>2.1547105369800001</v>
      </c>
      <c r="H10" s="80">
        <v>3.3963158442800001</v>
      </c>
      <c r="I10" s="80">
        <v>5.9813174478100004</v>
      </c>
      <c r="J10" s="80">
        <v>8.6980989149500001</v>
      </c>
      <c r="K10" s="80">
        <v>7.1388632172499999</v>
      </c>
      <c r="L10" s="75">
        <v>1.2598050719</v>
      </c>
      <c r="M10" s="75">
        <v>1.8371370971400001</v>
      </c>
      <c r="N10" s="75">
        <v>1.66822951899</v>
      </c>
      <c r="O10" s="75">
        <v>1.73334752107</v>
      </c>
      <c r="P10" s="75">
        <v>1.4514421742300001</v>
      </c>
      <c r="Q10">
        <v>1</v>
      </c>
      <c r="R10" s="81">
        <v>0.21199999999999999</v>
      </c>
    </row>
    <row r="11" spans="1:18">
      <c r="A11" s="83" t="s">
        <v>17</v>
      </c>
      <c r="B11" s="12" t="s">
        <v>44</v>
      </c>
      <c r="C11" s="87">
        <v>5</v>
      </c>
      <c r="D11" s="79">
        <f t="shared" ref="D11" si="4">0.693/C11</f>
        <v>0.1386</v>
      </c>
      <c r="E11" s="76">
        <v>2.2972045705420999E-2</v>
      </c>
      <c r="F11" s="75">
        <v>137</v>
      </c>
      <c r="G11" s="80">
        <v>1.95274306342755</v>
      </c>
      <c r="H11" s="80">
        <v>1.9232464732591199</v>
      </c>
      <c r="I11" s="80">
        <v>2.3762966594252601</v>
      </c>
      <c r="J11" s="80">
        <v>2.4433099830276399</v>
      </c>
      <c r="K11" s="80">
        <v>2.6883371177093802</v>
      </c>
      <c r="L11" s="80">
        <v>1.12520974300343</v>
      </c>
      <c r="M11" s="80">
        <v>7.8365423564999995E-6</v>
      </c>
      <c r="N11" s="80">
        <v>1.41941808113624</v>
      </c>
      <c r="O11" s="80">
        <v>1.3559522294036701</v>
      </c>
      <c r="P11" s="80">
        <v>1.84645988640769</v>
      </c>
      <c r="Q11">
        <v>1</v>
      </c>
      <c r="R11" s="81">
        <v>0.23599999999999999</v>
      </c>
    </row>
    <row r="12" spans="1:18">
      <c r="A12" s="82" t="s">
        <v>24</v>
      </c>
      <c r="B12" s="12" t="s">
        <v>50</v>
      </c>
      <c r="C12" s="87">
        <v>5</v>
      </c>
      <c r="D12" s="79">
        <f t="shared" ref="D12" si="5">0.693/C12</f>
        <v>0.1386</v>
      </c>
      <c r="E12" s="76">
        <v>74334.857142856999</v>
      </c>
      <c r="F12" s="75">
        <v>221</v>
      </c>
      <c r="G12" s="80">
        <v>0.398921044319</v>
      </c>
      <c r="H12" s="80">
        <v>0.36748550468000002</v>
      </c>
      <c r="I12" s="80">
        <v>1.11843095474</v>
      </c>
      <c r="J12" s="80">
        <v>1.4156151784</v>
      </c>
      <c r="K12" s="80">
        <v>0.496114823687</v>
      </c>
      <c r="L12" s="75">
        <v>0.235050493203</v>
      </c>
      <c r="M12" s="75">
        <v>0.18010374406099999</v>
      </c>
      <c r="N12" s="75">
        <v>0.25662294907200001</v>
      </c>
      <c r="O12" s="75">
        <v>0.238775235039</v>
      </c>
      <c r="P12" s="75">
        <v>0.195892015399</v>
      </c>
      <c r="Q12">
        <v>1</v>
      </c>
      <c r="R12" s="81">
        <v>0.29199999999999998</v>
      </c>
    </row>
    <row r="13" spans="1:18">
      <c r="A13" s="75" t="s">
        <v>22</v>
      </c>
      <c r="B13" s="84" t="s">
        <v>50</v>
      </c>
      <c r="C13" s="87">
        <v>5</v>
      </c>
      <c r="D13" s="79">
        <f t="shared" ref="D13" si="6">0.693/C13</f>
        <v>0.1386</v>
      </c>
      <c r="E13" s="76">
        <v>44692.122699385996</v>
      </c>
      <c r="F13" s="75">
        <v>206</v>
      </c>
      <c r="G13" s="80">
        <v>1.01635309074</v>
      </c>
      <c r="H13" s="80">
        <v>1.1232545947499999</v>
      </c>
      <c r="I13" s="80">
        <v>2.5584718051699999</v>
      </c>
      <c r="J13" s="80">
        <v>3.1279873558400002</v>
      </c>
      <c r="K13" s="80">
        <v>1.64507134906</v>
      </c>
      <c r="L13" s="75">
        <v>0.58109141725000002</v>
      </c>
      <c r="M13" s="75">
        <v>0.53920115053499995</v>
      </c>
      <c r="N13" s="75">
        <v>0.66090578638499997</v>
      </c>
      <c r="O13" s="75">
        <v>0.65398495879399998</v>
      </c>
      <c r="P13" s="75">
        <v>0.55212095389799998</v>
      </c>
      <c r="Q13">
        <v>1</v>
      </c>
      <c r="R13" s="81">
        <v>0.25600000000000001</v>
      </c>
    </row>
    <row r="14" spans="1:18">
      <c r="A14" s="75" t="s">
        <v>28</v>
      </c>
      <c r="B14" s="12" t="s">
        <v>50</v>
      </c>
      <c r="C14" s="87">
        <v>5</v>
      </c>
      <c r="D14" s="79">
        <f t="shared" ref="D14:D15" si="7">0.693/C14</f>
        <v>0.1386</v>
      </c>
      <c r="E14" s="76">
        <v>3.2322761194029999E-7</v>
      </c>
      <c r="F14" s="75">
        <v>237</v>
      </c>
      <c r="G14" s="80">
        <v>2.7317452365400001</v>
      </c>
      <c r="H14" s="80">
        <v>5.6423941093899996</v>
      </c>
      <c r="I14" s="80">
        <v>16.847705853699999</v>
      </c>
      <c r="J14" s="80">
        <v>20.620728702600001</v>
      </c>
      <c r="K14" s="80">
        <v>1.9559339873499999</v>
      </c>
      <c r="L14" s="75">
        <v>2.0094884518599998</v>
      </c>
      <c r="M14" s="75">
        <v>0.59680678295199996</v>
      </c>
      <c r="N14" s="75">
        <v>1.17376400445</v>
      </c>
      <c r="O14" s="75">
        <v>1.32908823346</v>
      </c>
      <c r="P14" s="75">
        <v>1.1272372878200001</v>
      </c>
      <c r="Q14">
        <v>1</v>
      </c>
      <c r="R14" s="81">
        <v>0.54100000000000004</v>
      </c>
    </row>
    <row r="15" spans="1:18">
      <c r="A15" s="75" t="s">
        <v>29</v>
      </c>
      <c r="B15" s="12" t="s">
        <v>50</v>
      </c>
      <c r="C15" s="87">
        <v>5</v>
      </c>
      <c r="D15" s="79">
        <f t="shared" si="7"/>
        <v>0.1386</v>
      </c>
      <c r="E15" s="76">
        <v>9.3797975303148</v>
      </c>
      <c r="F15" s="75">
        <v>233</v>
      </c>
      <c r="G15" s="80">
        <v>3.8244277845800001</v>
      </c>
      <c r="H15" s="80">
        <v>5.56030369515</v>
      </c>
      <c r="I15" s="80">
        <v>17.055113765000002</v>
      </c>
      <c r="J15" s="80">
        <v>20.782512432200001</v>
      </c>
      <c r="K15" s="80">
        <v>3.8029688232500001</v>
      </c>
      <c r="L15" s="75">
        <v>2.5669051328600001</v>
      </c>
      <c r="M15" s="75">
        <v>1.4075089669800001</v>
      </c>
      <c r="N15" s="75">
        <v>2.08710996714</v>
      </c>
      <c r="O15" s="75">
        <v>2.2559684257499999</v>
      </c>
      <c r="P15" s="75">
        <v>1.7931475780599999</v>
      </c>
      <c r="Q15">
        <v>1</v>
      </c>
      <c r="R15" s="81">
        <v>0.36199999999999999</v>
      </c>
    </row>
    <row r="16" spans="1:18">
      <c r="A16" s="75" t="s">
        <v>32</v>
      </c>
      <c r="B16" s="12" t="s">
        <v>50</v>
      </c>
      <c r="C16" s="87">
        <v>5</v>
      </c>
      <c r="D16" s="79">
        <f t="shared" ref="D16:D22" si="8">0.693/C16</f>
        <v>0.1386</v>
      </c>
      <c r="E16" s="76">
        <v>1866.1789117738001</v>
      </c>
      <c r="F16" s="75">
        <v>209</v>
      </c>
      <c r="G16" s="80">
        <v>0</v>
      </c>
      <c r="H16" s="80">
        <v>0</v>
      </c>
      <c r="I16" s="80">
        <v>0</v>
      </c>
      <c r="J16" s="80">
        <v>0</v>
      </c>
      <c r="K16" s="80">
        <v>0</v>
      </c>
      <c r="L16" s="75">
        <v>0</v>
      </c>
      <c r="M16" s="75">
        <v>0</v>
      </c>
      <c r="N16" s="75">
        <v>0</v>
      </c>
      <c r="O16" s="75">
        <v>0</v>
      </c>
      <c r="P16" s="75">
        <v>0</v>
      </c>
      <c r="Q16">
        <v>0.9</v>
      </c>
      <c r="R16" s="81">
        <v>0.9</v>
      </c>
    </row>
    <row r="17" spans="1:18">
      <c r="A17" s="75" t="s">
        <v>33</v>
      </c>
      <c r="B17" s="85" t="s">
        <v>50</v>
      </c>
      <c r="C17" s="87">
        <v>5</v>
      </c>
      <c r="D17" s="79">
        <f t="shared" si="8"/>
        <v>0.1386</v>
      </c>
      <c r="E17" s="76">
        <v>3.1216216216216001E-2</v>
      </c>
      <c r="F17" s="75">
        <v>210</v>
      </c>
      <c r="G17" s="80">
        <v>1.04521424343</v>
      </c>
      <c r="H17" s="80">
        <v>2.05805229039</v>
      </c>
      <c r="I17" s="80">
        <v>8.5525266591500007</v>
      </c>
      <c r="J17" s="80">
        <v>7.7649802116300002</v>
      </c>
      <c r="K17" s="80">
        <v>0.76243674565700004</v>
      </c>
      <c r="L17" s="75">
        <v>0.84626969143300002</v>
      </c>
      <c r="M17" s="75">
        <v>0.18648886834200001</v>
      </c>
      <c r="N17" s="75">
        <v>0.41349147972</v>
      </c>
      <c r="O17" s="75">
        <v>0.40896205161100002</v>
      </c>
      <c r="P17" s="75">
        <v>0.38431267503099997</v>
      </c>
      <c r="Q17">
        <v>1</v>
      </c>
      <c r="R17" s="81">
        <v>0.69099999999999995</v>
      </c>
    </row>
    <row r="18" spans="1:18">
      <c r="A18" s="75" t="s">
        <v>34</v>
      </c>
      <c r="B18" s="85" t="s">
        <v>50</v>
      </c>
      <c r="C18" s="87">
        <v>5</v>
      </c>
      <c r="D18" s="79">
        <f t="shared" si="8"/>
        <v>0.1386</v>
      </c>
      <c r="E18" s="76">
        <v>13591.074626866</v>
      </c>
      <c r="F18" s="75">
        <v>214</v>
      </c>
      <c r="G18" s="80">
        <v>2.35208204559</v>
      </c>
      <c r="H18" s="80">
        <v>2.3268175262800002</v>
      </c>
      <c r="I18" s="80">
        <v>6.8373191543800003</v>
      </c>
      <c r="J18" s="80">
        <v>7.58101226425</v>
      </c>
      <c r="K18" s="80">
        <v>3.5298055828399999</v>
      </c>
      <c r="L18" s="75">
        <v>1.4031413397400001</v>
      </c>
      <c r="M18" s="75">
        <v>1.17333725964</v>
      </c>
      <c r="N18" s="75">
        <v>1.45623970778</v>
      </c>
      <c r="O18" s="75">
        <v>1.4378166107499999</v>
      </c>
      <c r="P18" s="75">
        <v>1.2304291375400001</v>
      </c>
      <c r="Q18">
        <v>1</v>
      </c>
      <c r="R18" s="81">
        <v>0.27200000000000002</v>
      </c>
    </row>
    <row r="19" spans="1:18">
      <c r="A19" s="75" t="s">
        <v>36</v>
      </c>
      <c r="B19" s="85" t="s">
        <v>50</v>
      </c>
      <c r="C19" s="87">
        <v>5</v>
      </c>
      <c r="D19" s="79">
        <f t="shared" si="8"/>
        <v>0.1386</v>
      </c>
      <c r="E19" s="76">
        <v>1.8279542695265001</v>
      </c>
      <c r="F19" s="75">
        <v>210</v>
      </c>
      <c r="G19" s="80">
        <v>1.9213843896399999E-5</v>
      </c>
      <c r="H19" s="80">
        <v>2.89713592173E-5</v>
      </c>
      <c r="I19" s="80">
        <v>5.6841008329599997E-5</v>
      </c>
      <c r="J19" s="80">
        <v>8.7089031437600006E-5</v>
      </c>
      <c r="K19" s="80">
        <v>5.8438111722699999E-5</v>
      </c>
      <c r="L19" s="75">
        <v>1.1154074594500001E-5</v>
      </c>
      <c r="M19" s="75">
        <v>1.7974437574199999E-5</v>
      </c>
      <c r="N19" s="75">
        <v>1.54991344761E-5</v>
      </c>
      <c r="O19" s="75">
        <v>1.5876697199000001E-5</v>
      </c>
      <c r="P19" s="75">
        <v>1.3776116905399999E-5</v>
      </c>
      <c r="Q19">
        <v>1</v>
      </c>
      <c r="R19" s="81">
        <v>0.216</v>
      </c>
    </row>
    <row r="20" spans="1:18">
      <c r="A20" s="75" t="s">
        <v>37</v>
      </c>
      <c r="B20" s="12" t="s">
        <v>50</v>
      </c>
      <c r="C20" s="87">
        <v>5</v>
      </c>
      <c r="D20" s="79">
        <f t="shared" si="8"/>
        <v>0.1386</v>
      </c>
      <c r="E20" s="76">
        <v>5203440000000</v>
      </c>
      <c r="F20" s="75">
        <v>213</v>
      </c>
      <c r="G20" s="80">
        <v>7.9878069883300003E-5</v>
      </c>
      <c r="H20" s="80">
        <v>1.1961360473E-4</v>
      </c>
      <c r="I20" s="80">
        <v>2.3715801176599999E-4</v>
      </c>
      <c r="J20" s="80">
        <v>3.58053782741E-4</v>
      </c>
      <c r="K20" s="80">
        <v>2.43870603298E-4</v>
      </c>
      <c r="L20" s="75">
        <v>4.6446094620500002E-5</v>
      </c>
      <c r="M20" s="75">
        <v>7.1769657802899997E-5</v>
      </c>
      <c r="N20" s="75">
        <v>6.3268664794900002E-5</v>
      </c>
      <c r="O20" s="75">
        <v>6.48918276581E-5</v>
      </c>
      <c r="P20" s="75">
        <v>5.5847523508599998E-5</v>
      </c>
      <c r="Q20">
        <v>1</v>
      </c>
      <c r="R20" s="81">
        <v>0.217</v>
      </c>
    </row>
    <row r="21" spans="1:18">
      <c r="A21" s="75" t="s">
        <v>38</v>
      </c>
      <c r="B21" s="85" t="s">
        <v>50</v>
      </c>
      <c r="C21" s="87">
        <v>5</v>
      </c>
      <c r="D21" s="79">
        <f t="shared" si="8"/>
        <v>0.1386</v>
      </c>
      <c r="E21" s="76">
        <v>133015508216.67999</v>
      </c>
      <c r="F21" s="75">
        <v>214</v>
      </c>
      <c r="G21" s="80">
        <v>1.6532079163799999E-4</v>
      </c>
      <c r="H21" s="80">
        <v>2.4915423867499998E-4</v>
      </c>
      <c r="I21" s="80">
        <v>4.8897153953800004E-4</v>
      </c>
      <c r="J21" s="80">
        <v>7.4912010256999995E-4</v>
      </c>
      <c r="K21" s="80">
        <v>5.0259569541200001E-4</v>
      </c>
      <c r="L21" s="75">
        <v>9.5970058878700002E-5</v>
      </c>
      <c r="M21" s="75">
        <v>1.5459698978300001E-4</v>
      </c>
      <c r="N21" s="75">
        <v>1.3336788413500001E-4</v>
      </c>
      <c r="O21" s="75">
        <v>1.3678783155099999E-4</v>
      </c>
      <c r="P21" s="75">
        <v>1.18613229749E-4</v>
      </c>
      <c r="Q21">
        <v>1</v>
      </c>
      <c r="R21" s="81">
        <v>0.216</v>
      </c>
    </row>
    <row r="22" spans="1:18">
      <c r="A22" s="75" t="s">
        <v>39</v>
      </c>
      <c r="B22" s="85" t="s">
        <v>50</v>
      </c>
      <c r="C22" s="87">
        <v>5</v>
      </c>
      <c r="D22" s="79">
        <f t="shared" si="8"/>
        <v>0.1386</v>
      </c>
      <c r="E22" s="76">
        <v>117497.03225806</v>
      </c>
      <c r="F22" s="75">
        <v>218</v>
      </c>
      <c r="G22" s="80">
        <v>0</v>
      </c>
      <c r="H22" s="80">
        <v>0</v>
      </c>
      <c r="I22" s="80">
        <v>0</v>
      </c>
      <c r="J22" s="80">
        <v>0</v>
      </c>
      <c r="K22" s="80">
        <v>0</v>
      </c>
      <c r="L22" s="75">
        <v>0</v>
      </c>
      <c r="M22" s="75">
        <v>0</v>
      </c>
      <c r="N22" s="75">
        <v>0</v>
      </c>
      <c r="O22" s="75">
        <v>0</v>
      </c>
      <c r="P22" s="75">
        <v>0</v>
      </c>
      <c r="Q22">
        <v>0.9</v>
      </c>
      <c r="R22" s="81">
        <v>0.9</v>
      </c>
    </row>
    <row r="23" spans="1:18">
      <c r="A23" s="75" t="s">
        <v>26</v>
      </c>
      <c r="B23" s="12" t="s">
        <v>50</v>
      </c>
      <c r="C23" s="87">
        <v>5</v>
      </c>
      <c r="D23" s="79">
        <f t="shared" ref="D23:D24" si="9">0.693/C23</f>
        <v>0.1386</v>
      </c>
      <c r="E23" s="76">
        <v>16.976174496643999</v>
      </c>
      <c r="F23" s="75">
        <v>225</v>
      </c>
      <c r="G23" s="80">
        <v>1.2197409474700001</v>
      </c>
      <c r="H23" s="80">
        <v>3.0382374789100002</v>
      </c>
      <c r="I23" s="80">
        <v>6.0093366559500003</v>
      </c>
      <c r="J23" s="80">
        <v>7.2761436756500002</v>
      </c>
      <c r="K23" s="80">
        <v>0.82650946920699997</v>
      </c>
      <c r="L23" s="75">
        <v>0.73574125458100004</v>
      </c>
      <c r="M23" s="75">
        <v>0.82663859259432204</v>
      </c>
      <c r="N23" s="75">
        <v>0.46347718988800002</v>
      </c>
      <c r="O23" s="75">
        <v>0.48897980057099999</v>
      </c>
      <c r="P23" s="75">
        <v>0.44353911085699999</v>
      </c>
      <c r="Q23">
        <v>1</v>
      </c>
      <c r="R23" s="81">
        <v>0.47299999999999998</v>
      </c>
    </row>
    <row r="24" spans="1:18">
      <c r="A24" s="75" t="s">
        <v>27</v>
      </c>
      <c r="B24" s="85" t="s">
        <v>44</v>
      </c>
      <c r="C24" s="87">
        <v>5</v>
      </c>
      <c r="D24" s="79">
        <f t="shared" si="9"/>
        <v>0.1386</v>
      </c>
      <c r="E24" s="76">
        <v>4.3312500000000002E-4</v>
      </c>
      <c r="F24" s="75">
        <v>226</v>
      </c>
      <c r="G24" s="80">
        <v>1.7947144398549499</v>
      </c>
      <c r="H24" s="80">
        <v>1.8313952920684999</v>
      </c>
      <c r="I24" s="80">
        <v>2.2258880500156399</v>
      </c>
      <c r="J24" s="80">
        <v>2.2941868095974098</v>
      </c>
      <c r="K24" s="80">
        <v>2.0097176995373198</v>
      </c>
      <c r="L24" s="75">
        <v>0.99899151107912099</v>
      </c>
      <c r="M24" s="75">
        <v>5.0265351796600001E-2</v>
      </c>
      <c r="N24" s="75">
        <v>1.2978285873980899</v>
      </c>
      <c r="O24" s="75">
        <v>1.2749406990991199</v>
      </c>
      <c r="P24" s="75">
        <v>1.3500673283776901</v>
      </c>
      <c r="Q24">
        <v>1</v>
      </c>
      <c r="R24" s="81">
        <v>0.316</v>
      </c>
    </row>
    <row r="25" spans="1:18">
      <c r="A25" s="75" t="s">
        <v>30</v>
      </c>
      <c r="B25" s="85" t="s">
        <v>50</v>
      </c>
      <c r="C25" s="87">
        <v>5</v>
      </c>
      <c r="D25" s="79">
        <f t="shared" ref="D25:D26" si="10">0.693/C25</f>
        <v>0.1386</v>
      </c>
      <c r="E25" s="76">
        <v>624412800</v>
      </c>
      <c r="F25" s="75">
        <v>218</v>
      </c>
      <c r="G25" s="80">
        <v>1.9935312587E-3</v>
      </c>
      <c r="H25" s="80">
        <v>3.8026937948800001E-3</v>
      </c>
      <c r="I25" s="80">
        <v>5.5311214220599998E-3</v>
      </c>
      <c r="J25" s="80">
        <v>8.6624263861100007E-3</v>
      </c>
      <c r="K25" s="80">
        <v>8.2281476623100001E-3</v>
      </c>
      <c r="L25" s="75">
        <v>1.18125247576E-3</v>
      </c>
      <c r="M25" s="75">
        <v>1.6933864354300001E-3</v>
      </c>
      <c r="N25" s="75">
        <v>1.60677209698E-3</v>
      </c>
      <c r="O25" s="75">
        <v>1.7630849140700001E-3</v>
      </c>
      <c r="P25" s="75">
        <v>1.3921116493499999E-3</v>
      </c>
      <c r="Q25">
        <v>1</v>
      </c>
      <c r="R25" s="81">
        <v>0.223</v>
      </c>
    </row>
    <row r="26" spans="1:18">
      <c r="A26" s="75" t="s">
        <v>31</v>
      </c>
      <c r="B26" s="85" t="s">
        <v>44</v>
      </c>
      <c r="C26" s="87">
        <v>5</v>
      </c>
      <c r="D26" s="79">
        <f t="shared" si="10"/>
        <v>0.1386</v>
      </c>
      <c r="E26" s="76">
        <v>66.155355041193005</v>
      </c>
      <c r="F26" s="75">
        <v>222</v>
      </c>
      <c r="G26" s="80">
        <v>1.2662983656800001E-3</v>
      </c>
      <c r="H26" s="80">
        <v>2.3271995890900002E-3</v>
      </c>
      <c r="I26" s="80">
        <v>3.2643469538699999E-3</v>
      </c>
      <c r="J26" s="80">
        <v>4.4702415729499997E-3</v>
      </c>
      <c r="K26" s="80">
        <v>4.38164187811E-3</v>
      </c>
      <c r="L26" s="75">
        <v>7.4567848921399998E-4</v>
      </c>
      <c r="M26" s="75">
        <v>1.0537485824400001E-3</v>
      </c>
      <c r="N26" s="75">
        <v>9.75096729929E-4</v>
      </c>
      <c r="O26" s="75">
        <v>1.1340800121999999E-3</v>
      </c>
      <c r="P26" s="75">
        <v>1.0574823301700001E-3</v>
      </c>
      <c r="Q26">
        <v>1</v>
      </c>
      <c r="R26" s="81">
        <v>0.223</v>
      </c>
    </row>
    <row r="27" spans="1:18">
      <c r="A27" s="75" t="s">
        <v>35</v>
      </c>
      <c r="B27" s="12" t="s">
        <v>50</v>
      </c>
      <c r="C27" s="87">
        <v>5</v>
      </c>
      <c r="D27" s="79">
        <f t="shared" ref="D27:D30" si="11">0.693/C27</f>
        <v>0.1386</v>
      </c>
      <c r="E27" s="76">
        <v>9.4414168937329994E-5</v>
      </c>
      <c r="F27" s="75">
        <v>229</v>
      </c>
      <c r="G27" s="80">
        <v>4.97278464596</v>
      </c>
      <c r="H27" s="80">
        <v>8.1035323848599994</v>
      </c>
      <c r="I27" s="80">
        <v>28.388510033199999</v>
      </c>
      <c r="J27" s="80">
        <v>30.617254122399999</v>
      </c>
      <c r="K27" s="80">
        <v>3.3119584581799999</v>
      </c>
      <c r="L27" s="75">
        <v>3.4912135445499999</v>
      </c>
      <c r="M27" s="75">
        <v>0.67411059211314805</v>
      </c>
      <c r="N27" s="75">
        <v>2.3244636082699999</v>
      </c>
      <c r="O27" s="75">
        <v>2.3440454912900002</v>
      </c>
      <c r="P27" s="75">
        <v>2.0010383421200002</v>
      </c>
      <c r="Q27">
        <v>1</v>
      </c>
      <c r="R27" s="81">
        <v>0.51700000000000002</v>
      </c>
    </row>
    <row r="28" spans="1:18">
      <c r="A28" s="75" t="s">
        <v>40</v>
      </c>
      <c r="B28" s="85" t="s">
        <v>50</v>
      </c>
      <c r="C28" s="87">
        <v>5</v>
      </c>
      <c r="D28" s="79">
        <f t="shared" si="11"/>
        <v>0.1386</v>
      </c>
      <c r="E28" s="76">
        <v>86724</v>
      </c>
      <c r="F28" s="75">
        <v>206</v>
      </c>
      <c r="G28" s="80">
        <v>3.2787569004000001E-3</v>
      </c>
      <c r="H28" s="80">
        <v>3.3400217699999998E-3</v>
      </c>
      <c r="I28" s="80">
        <v>1.30718429999E-2</v>
      </c>
      <c r="J28" s="80">
        <v>1.27329035534E-2</v>
      </c>
      <c r="K28" s="80">
        <v>2.36499560487E-3</v>
      </c>
      <c r="L28" s="75">
        <v>1.8959040023599999E-3</v>
      </c>
      <c r="M28" s="75">
        <v>8.4159496761200005E-4</v>
      </c>
      <c r="N28" s="75">
        <v>1.53359852E-3</v>
      </c>
      <c r="O28" s="75">
        <v>1.21522191198E-3</v>
      </c>
      <c r="P28" s="75">
        <v>1.27315138167E-3</v>
      </c>
      <c r="Q28">
        <v>1</v>
      </c>
      <c r="R28" s="81">
        <v>0.39800000000000002</v>
      </c>
    </row>
    <row r="29" spans="1:18">
      <c r="A29" s="75" t="s">
        <v>41</v>
      </c>
      <c r="B29" s="12" t="s">
        <v>50</v>
      </c>
      <c r="C29" s="87">
        <v>5</v>
      </c>
      <c r="D29" s="79">
        <f t="shared" si="11"/>
        <v>0.1386</v>
      </c>
      <c r="E29" s="76">
        <v>168551.96668208999</v>
      </c>
      <c r="F29" s="75">
        <v>209</v>
      </c>
      <c r="G29" s="80">
        <v>5.9995143173800001</v>
      </c>
      <c r="H29" s="80">
        <v>6.13271147687</v>
      </c>
      <c r="I29" s="80">
        <v>15.696256657599999</v>
      </c>
      <c r="J29" s="80">
        <v>18.302548441799999</v>
      </c>
      <c r="K29" s="80">
        <v>11.396416869599999</v>
      </c>
      <c r="L29" s="75">
        <v>3.3282903815</v>
      </c>
      <c r="M29" s="75">
        <v>3.5685586318000002</v>
      </c>
      <c r="N29" s="75">
        <v>4.0715618956800004</v>
      </c>
      <c r="O29" s="75">
        <v>4.0941405872200001</v>
      </c>
      <c r="P29" s="75">
        <v>3.5331609322399999</v>
      </c>
      <c r="Q29">
        <v>1</v>
      </c>
      <c r="R29" s="81">
        <v>0.218</v>
      </c>
    </row>
    <row r="30" spans="1:18">
      <c r="A30" s="75" t="s">
        <v>42</v>
      </c>
      <c r="B30" s="85" t="s">
        <v>50</v>
      </c>
      <c r="C30" s="87">
        <v>5</v>
      </c>
      <c r="D30" s="79">
        <f t="shared" si="11"/>
        <v>0.1386</v>
      </c>
      <c r="E30" s="76">
        <v>280185.23076922999</v>
      </c>
      <c r="F30" s="75">
        <v>210</v>
      </c>
      <c r="G30" s="80">
        <v>6.0345174303500002</v>
      </c>
      <c r="H30" s="80">
        <v>7.29878659253</v>
      </c>
      <c r="I30" s="80">
        <v>17.797543341099999</v>
      </c>
      <c r="J30" s="80">
        <v>23.487984629700001</v>
      </c>
      <c r="K30" s="80">
        <v>14.3888685916</v>
      </c>
      <c r="L30" s="75">
        <v>3.6389880563300001</v>
      </c>
      <c r="M30" s="75">
        <v>4.4189883537899997</v>
      </c>
      <c r="N30" s="75">
        <v>4.3344762212200001</v>
      </c>
      <c r="O30" s="75">
        <v>4.4098822569699996</v>
      </c>
      <c r="P30" s="75">
        <v>3.7707453286299999</v>
      </c>
      <c r="Q30">
        <v>1</v>
      </c>
      <c r="R30" s="81">
        <v>0.22</v>
      </c>
    </row>
    <row r="31" spans="1:18">
      <c r="A31" s="75" t="s">
        <v>25</v>
      </c>
      <c r="B31" s="12" t="s">
        <v>50</v>
      </c>
      <c r="C31" s="87">
        <v>5</v>
      </c>
      <c r="D31" s="79">
        <f t="shared" ref="D31" si="12">0.693/C31</f>
        <v>0.1386</v>
      </c>
      <c r="E31" s="76">
        <v>4.3530150753769003E-6</v>
      </c>
      <c r="F31" s="75">
        <v>233</v>
      </c>
      <c r="G31" s="80">
        <v>0.21941750149799999</v>
      </c>
      <c r="H31" s="80">
        <v>1.2668764662071399</v>
      </c>
      <c r="I31" s="80">
        <v>1.75601399802</v>
      </c>
      <c r="J31" s="80">
        <v>1.9760049871400001</v>
      </c>
      <c r="K31" s="80">
        <v>0.16066463808199999</v>
      </c>
      <c r="L31" s="75">
        <v>0.18107805085000001</v>
      </c>
      <c r="M31" s="75">
        <v>0.62574610976221401</v>
      </c>
      <c r="N31" s="75">
        <v>8.8376547334099997E-2</v>
      </c>
      <c r="O31" s="75">
        <v>0.107562745152</v>
      </c>
      <c r="P31" s="75">
        <v>8.5062270096700004E-2</v>
      </c>
      <c r="Q31">
        <v>1</v>
      </c>
      <c r="R31" s="81">
        <v>0.625</v>
      </c>
    </row>
  </sheetData>
  <sheetProtection algorithmName="SHA-512" hashValue="lbVIKEQvB0jJSPeXetV8ljvPLt51bDiYy5sNDFIx/DlCC34Nf6GVAmHaK8d556eE05i7THtiLLo0H/ORKZGW+w==" saltValue="8g7g+CPSxYvrH+0vKykK9w==" spinCount="100000" sheet="1" formatCells="0" formatColumns="0" formatRows="0" insertColumns="0" insertRows="0" autoFilter="0"/>
  <autoFilter ref="A2:R31" xr:uid="{00000000-0009-0000-0000-00000200000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28"/>
  <sheetViews>
    <sheetView workbookViewId="0">
      <selection sqref="A1:C1"/>
    </sheetView>
  </sheetViews>
  <sheetFormatPr defaultRowHeight="12.75"/>
  <cols>
    <col min="1" max="1" width="10.42578125" bestFit="1" customWidth="1"/>
    <col min="2" max="2" width="8" style="1" bestFit="1" customWidth="1"/>
    <col min="3" max="3" width="16.85546875" bestFit="1" customWidth="1"/>
    <col min="4" max="4" width="11.140625" bestFit="1" customWidth="1"/>
    <col min="5" max="5" width="8.42578125" style="1" bestFit="1" customWidth="1"/>
    <col min="6" max="6" width="9.28515625" bestFit="1" customWidth="1"/>
    <col min="7" max="7" width="10.7109375" bestFit="1" customWidth="1"/>
    <col min="8" max="8" width="8" style="1" customWidth="1"/>
    <col min="9" max="9" width="9.28515625" bestFit="1" customWidth="1"/>
  </cols>
  <sheetData>
    <row r="1" spans="1:9" ht="19.5" thickBot="1">
      <c r="A1" s="131" t="s">
        <v>45</v>
      </c>
      <c r="B1" s="132"/>
      <c r="C1" s="133"/>
      <c r="D1" s="134" t="s">
        <v>46</v>
      </c>
      <c r="E1" s="135"/>
      <c r="F1" s="136"/>
      <c r="G1" s="137" t="s">
        <v>47</v>
      </c>
      <c r="H1" s="138"/>
      <c r="I1" s="139"/>
    </row>
    <row r="2" spans="1:9">
      <c r="A2" t="s">
        <v>58</v>
      </c>
      <c r="B2" s="1">
        <v>5</v>
      </c>
      <c r="C2" t="s">
        <v>48</v>
      </c>
      <c r="D2" t="s">
        <v>65</v>
      </c>
      <c r="E2" s="1">
        <v>1</v>
      </c>
      <c r="F2" t="s">
        <v>49</v>
      </c>
      <c r="G2" t="s">
        <v>84</v>
      </c>
      <c r="H2" s="1">
        <v>1</v>
      </c>
      <c r="I2" t="s">
        <v>49</v>
      </c>
    </row>
    <row r="3" spans="1:9" ht="18.75">
      <c r="A3" t="s">
        <v>59</v>
      </c>
      <c r="B3" s="1">
        <v>0.5</v>
      </c>
      <c r="C3" s="12" t="s">
        <v>184</v>
      </c>
      <c r="D3" t="s">
        <v>66</v>
      </c>
      <c r="E3" s="17">
        <f>E26/E28</f>
        <v>0.25</v>
      </c>
      <c r="F3" s="12" t="s">
        <v>185</v>
      </c>
      <c r="G3" t="s">
        <v>85</v>
      </c>
      <c r="H3" s="1">
        <v>55</v>
      </c>
      <c r="I3" t="s">
        <v>52</v>
      </c>
    </row>
    <row r="4" spans="1:9">
      <c r="A4" t="s">
        <v>60</v>
      </c>
      <c r="B4" s="1">
        <v>2</v>
      </c>
      <c r="C4" s="12" t="s">
        <v>185</v>
      </c>
      <c r="D4" t="s">
        <v>67</v>
      </c>
      <c r="E4" s="17">
        <f>E27/E28</f>
        <v>0.75</v>
      </c>
      <c r="F4" s="12" t="s">
        <v>185</v>
      </c>
      <c r="G4" t="s">
        <v>86</v>
      </c>
      <c r="H4" s="1">
        <v>5</v>
      </c>
      <c r="I4" t="s">
        <v>53</v>
      </c>
    </row>
    <row r="5" spans="1:9">
      <c r="A5" s="12" t="s">
        <v>124</v>
      </c>
      <c r="B5" s="1">
        <v>2</v>
      </c>
      <c r="C5" s="12" t="s">
        <v>185</v>
      </c>
      <c r="D5" t="s">
        <v>68</v>
      </c>
      <c r="E5" s="1">
        <v>55</v>
      </c>
      <c r="F5" t="s">
        <v>52</v>
      </c>
      <c r="G5" t="s">
        <v>87</v>
      </c>
      <c r="H5" s="1">
        <v>5</v>
      </c>
      <c r="I5" t="s">
        <v>53</v>
      </c>
    </row>
    <row r="6" spans="1:9">
      <c r="A6" t="s">
        <v>61</v>
      </c>
      <c r="B6" s="1">
        <v>2</v>
      </c>
      <c r="C6" s="12" t="s">
        <v>185</v>
      </c>
      <c r="D6" t="s">
        <v>69</v>
      </c>
      <c r="E6" s="1">
        <v>55</v>
      </c>
      <c r="F6" t="s">
        <v>52</v>
      </c>
      <c r="G6" t="s">
        <v>88</v>
      </c>
      <c r="H6" s="1">
        <v>5</v>
      </c>
      <c r="I6" t="s">
        <v>53</v>
      </c>
    </row>
    <row r="7" spans="1:9" ht="14.25">
      <c r="A7" t="s">
        <v>62</v>
      </c>
      <c r="B7" s="1">
        <v>2</v>
      </c>
      <c r="C7" s="12" t="s">
        <v>185</v>
      </c>
      <c r="D7" t="s">
        <v>70</v>
      </c>
      <c r="E7" s="1">
        <v>55</v>
      </c>
      <c r="F7" t="s">
        <v>52</v>
      </c>
      <c r="G7" t="s">
        <v>89</v>
      </c>
      <c r="H7" s="1">
        <v>55</v>
      </c>
      <c r="I7" s="13" t="s">
        <v>186</v>
      </c>
    </row>
    <row r="8" spans="1:9">
      <c r="A8" t="s">
        <v>214</v>
      </c>
      <c r="B8" s="1">
        <v>0.5</v>
      </c>
      <c r="C8" s="12" t="s">
        <v>185</v>
      </c>
      <c r="D8" t="s">
        <v>71</v>
      </c>
      <c r="E8" s="1">
        <v>5</v>
      </c>
      <c r="F8" t="s">
        <v>53</v>
      </c>
      <c r="G8" s="13" t="s">
        <v>90</v>
      </c>
      <c r="H8" s="1">
        <v>5</v>
      </c>
      <c r="I8" s="13" t="s">
        <v>54</v>
      </c>
    </row>
    <row r="9" spans="1:9" ht="14.25">
      <c r="A9" t="s">
        <v>215</v>
      </c>
      <c r="B9" s="1">
        <v>0.5</v>
      </c>
      <c r="C9" s="12" t="s">
        <v>185</v>
      </c>
      <c r="D9" t="s">
        <v>72</v>
      </c>
      <c r="E9" s="1">
        <v>5</v>
      </c>
      <c r="F9" t="s">
        <v>53</v>
      </c>
      <c r="G9" t="s">
        <v>91</v>
      </c>
      <c r="H9" s="1">
        <v>30</v>
      </c>
      <c r="I9" s="13" t="s">
        <v>187</v>
      </c>
    </row>
    <row r="10" spans="1:9" ht="14.25">
      <c r="A10" t="s">
        <v>216</v>
      </c>
      <c r="B10" s="1">
        <v>0.5</v>
      </c>
      <c r="D10" t="s">
        <v>73</v>
      </c>
      <c r="E10" s="1">
        <v>5</v>
      </c>
      <c r="F10" t="s">
        <v>53</v>
      </c>
      <c r="G10" s="12" t="s">
        <v>208</v>
      </c>
      <c r="H10" s="59">
        <f>((s_FTSSh_a*s_ETiw_h)+(s_FTSSs_a*s_ETiw_s))*s_EFiw*s_SAiw*s_FQiw*s_FSAres_a*s_SE</f>
        <v>26468.75</v>
      </c>
      <c r="I10" s="13" t="s">
        <v>188</v>
      </c>
    </row>
    <row r="11" spans="1:9">
      <c r="A11" t="s">
        <v>217</v>
      </c>
      <c r="B11" s="1">
        <v>0.5</v>
      </c>
      <c r="D11" t="s">
        <v>74</v>
      </c>
      <c r="E11" s="1">
        <v>5</v>
      </c>
      <c r="F11" t="s">
        <v>53</v>
      </c>
      <c r="G11" t="s">
        <v>135</v>
      </c>
      <c r="H11" s="18">
        <f>(1-EXP(-s_k*s_tiw))/(s_k*s_tiw)</f>
        <v>0.78693868057473315</v>
      </c>
      <c r="I11" s="12" t="s">
        <v>185</v>
      </c>
    </row>
    <row r="12" spans="1:9">
      <c r="A12" t="s">
        <v>63</v>
      </c>
      <c r="B12" s="1">
        <v>0.7</v>
      </c>
      <c r="C12" s="12" t="s">
        <v>185</v>
      </c>
      <c r="D12" t="s">
        <v>75</v>
      </c>
      <c r="E12" s="1">
        <v>5</v>
      </c>
      <c r="F12" t="s">
        <v>53</v>
      </c>
    </row>
    <row r="13" spans="1:9">
      <c r="A13" s="13" t="s">
        <v>64</v>
      </c>
      <c r="B13" s="14">
        <v>27.027027027027</v>
      </c>
      <c r="C13" s="13" t="s">
        <v>51</v>
      </c>
      <c r="D13" t="s">
        <v>76</v>
      </c>
      <c r="E13" s="1">
        <v>5</v>
      </c>
      <c r="F13" t="s">
        <v>53</v>
      </c>
    </row>
    <row r="14" spans="1:9">
      <c r="A14" s="13" t="s">
        <v>193</v>
      </c>
      <c r="B14" s="15">
        <f>2.8*(10^(-15))</f>
        <v>2.8000000000000001E-15</v>
      </c>
      <c r="C14" s="12" t="s">
        <v>189</v>
      </c>
      <c r="D14" t="s">
        <v>77</v>
      </c>
      <c r="E14" s="1">
        <v>5</v>
      </c>
      <c r="F14" t="s">
        <v>53</v>
      </c>
    </row>
    <row r="15" spans="1:9" ht="14.25">
      <c r="A15" s="13" t="s">
        <v>193</v>
      </c>
      <c r="B15" s="15">
        <f>2.8*(10^(-12))</f>
        <v>2.7999999999999998E-12</v>
      </c>
      <c r="C15" s="12" t="s">
        <v>190</v>
      </c>
      <c r="D15" t="s">
        <v>78</v>
      </c>
      <c r="E15" s="1">
        <v>55</v>
      </c>
      <c r="F15" s="13" t="s">
        <v>186</v>
      </c>
    </row>
    <row r="16" spans="1:9" ht="14.25">
      <c r="A16" t="s">
        <v>82</v>
      </c>
      <c r="B16" s="1">
        <v>0.5</v>
      </c>
      <c r="C16" s="12" t="s">
        <v>185</v>
      </c>
      <c r="D16" t="s">
        <v>79</v>
      </c>
      <c r="E16" s="1">
        <v>55</v>
      </c>
      <c r="F16" s="13" t="s">
        <v>186</v>
      </c>
    </row>
    <row r="17" spans="1:6">
      <c r="A17" t="s">
        <v>83</v>
      </c>
      <c r="B17" s="1">
        <v>0.5</v>
      </c>
      <c r="C17" s="12" t="s">
        <v>185</v>
      </c>
      <c r="D17" s="13" t="s">
        <v>80</v>
      </c>
      <c r="E17" s="16">
        <v>10</v>
      </c>
      <c r="F17" s="13" t="s">
        <v>54</v>
      </c>
    </row>
    <row r="18" spans="1:6">
      <c r="A18" s="12" t="s">
        <v>136</v>
      </c>
      <c r="B18" s="1">
        <v>5</v>
      </c>
      <c r="C18" t="s">
        <v>194</v>
      </c>
      <c r="D18" s="13" t="s">
        <v>81</v>
      </c>
      <c r="E18" s="16">
        <v>5</v>
      </c>
      <c r="F18" s="13" t="s">
        <v>54</v>
      </c>
    </row>
    <row r="19" spans="1:6">
      <c r="D19" s="13" t="s">
        <v>212</v>
      </c>
      <c r="E19" s="1">
        <v>0.5</v>
      </c>
      <c r="F19" s="13"/>
    </row>
    <row r="20" spans="1:6">
      <c r="D20" s="13" t="s">
        <v>213</v>
      </c>
      <c r="E20" s="1">
        <v>0.5</v>
      </c>
      <c r="F20" s="13"/>
    </row>
    <row r="21" spans="1:6" ht="14.25">
      <c r="D21" s="13" t="s">
        <v>125</v>
      </c>
      <c r="E21" s="16">
        <v>5</v>
      </c>
      <c r="F21" s="13" t="s">
        <v>187</v>
      </c>
    </row>
    <row r="22" spans="1:6" ht="14.25">
      <c r="D22" s="13" t="s">
        <v>126</v>
      </c>
      <c r="E22" s="16">
        <v>10</v>
      </c>
      <c r="F22" s="13" t="s">
        <v>187</v>
      </c>
    </row>
    <row r="23" spans="1:6" ht="14.25">
      <c r="D23" s="12" t="s">
        <v>127</v>
      </c>
      <c r="E23" s="59" cm="1">
        <f t="array" ref="E23">((((s_FTSSh_c*s_ETres_c_h)+(s_FTSSs_c*s_ETres_c_s))*s_EFres_c*s_AAFc*s_SAres_c*s_FQres_c*s_FSAres_c*s_SE)+(((s_FTSSh_a*s_ETres_a_h)+(s_FTSSs_a*s_ETres_a_s))*s_EFres_a*s_AAFa*s_SAres_a*s_FQres_a*s_FSAres_a*s_SE))</f>
        <v>33085.9375</v>
      </c>
      <c r="F23" s="13" t="s">
        <v>191</v>
      </c>
    </row>
    <row r="24" spans="1:6" ht="14.25">
      <c r="D24" s="12" t="s">
        <v>128</v>
      </c>
      <c r="E24" s="18">
        <f>((s_IRAres_c*s_ETres_c*(1/24)*s_EFres_c*s_AAFc)+(s_IRAres_a*s_ETres_a*(1/24)*s_EFres_a*s_AAFa))</f>
        <v>100.26041666666666</v>
      </c>
      <c r="F24" s="13" t="s">
        <v>192</v>
      </c>
    </row>
    <row r="25" spans="1:6">
      <c r="D25" t="s">
        <v>134</v>
      </c>
      <c r="E25" s="18">
        <f>(1-EXP(-s_k*s_tres))/(s_k*s_tres)</f>
        <v>0.78693868057473315</v>
      </c>
      <c r="F25" s="12" t="s">
        <v>185</v>
      </c>
    </row>
    <row r="26" spans="1:6">
      <c r="D26" t="s">
        <v>195</v>
      </c>
      <c r="E26" s="1">
        <v>5</v>
      </c>
      <c r="F26" t="s">
        <v>196</v>
      </c>
    </row>
    <row r="27" spans="1:6">
      <c r="D27" t="s">
        <v>197</v>
      </c>
      <c r="E27" s="1">
        <v>15</v>
      </c>
      <c r="F27" t="s">
        <v>196</v>
      </c>
    </row>
    <row r="28" spans="1:6">
      <c r="D28" t="s">
        <v>198</v>
      </c>
      <c r="E28" s="17">
        <f>SUM(E26:E27)</f>
        <v>20</v>
      </c>
      <c r="F28" t="s">
        <v>196</v>
      </c>
    </row>
  </sheetData>
  <sheetProtection algorithmName="SHA-512" hashValue="ntT5o/FJ0ztjfMkKWDq8FRaw6bFS43mBE3pdQl36KUkK3CnLPxKa1e7Q2bn0z4fwwAMRxiKY90togBojXCpdyQ==" saltValue="I0oC2cSaLtfsIAEtZ2XbXQ==" spinCount="100000" sheet="1" formatCells="0" formatColumns="0" formatRows="0" insertColumns="0" insertRows="0"/>
  <mergeCells count="3">
    <mergeCell ref="A1:C1"/>
    <mergeCell ref="D1:F1"/>
    <mergeCell ref="G1:I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499984740745262"/>
  </sheetPr>
  <dimension ref="A1:L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3.85546875" style="22" bestFit="1" customWidth="1"/>
    <col min="4" max="4" width="14" style="22" bestFit="1" customWidth="1"/>
    <col min="5" max="5" width="13.5703125" style="22" bestFit="1" customWidth="1"/>
    <col min="6" max="6" width="13.85546875" style="22" bestFit="1" customWidth="1"/>
    <col min="7" max="7" width="14" style="22" bestFit="1" customWidth="1"/>
    <col min="8" max="8" width="13.5703125" style="22" bestFit="1" customWidth="1"/>
    <col min="9" max="9" width="13.85546875" style="22" bestFit="1" customWidth="1"/>
    <col min="10" max="10" width="14" style="22" bestFit="1" customWidth="1"/>
    <col min="11" max="11" width="13.5703125" style="22" bestFit="1" customWidth="1"/>
    <col min="12" max="12" width="13.5703125" bestFit="1" customWidth="1"/>
  </cols>
  <sheetData>
    <row r="1" spans="1:12" ht="13.5" thickBot="1">
      <c r="C1" s="140" t="s">
        <v>51</v>
      </c>
      <c r="D1" s="141"/>
      <c r="E1" s="141"/>
      <c r="F1" s="140" t="s">
        <v>100</v>
      </c>
      <c r="G1" s="141"/>
      <c r="H1" s="141"/>
      <c r="I1" s="140" t="s">
        <v>101</v>
      </c>
      <c r="J1" s="141"/>
      <c r="K1" s="141"/>
      <c r="L1" s="60" t="s">
        <v>206</v>
      </c>
    </row>
    <row r="2" spans="1:12">
      <c r="A2" s="11" t="s">
        <v>0</v>
      </c>
      <c r="B2" s="11" t="s">
        <v>43</v>
      </c>
      <c r="C2" s="35" t="s">
        <v>97</v>
      </c>
      <c r="D2" s="36" t="s">
        <v>98</v>
      </c>
      <c r="E2" s="38" t="s">
        <v>99</v>
      </c>
      <c r="F2" s="35" t="s">
        <v>97</v>
      </c>
      <c r="G2" s="36" t="s">
        <v>98</v>
      </c>
      <c r="H2" s="36" t="s">
        <v>99</v>
      </c>
      <c r="I2" s="35" t="s">
        <v>97</v>
      </c>
      <c r="J2" s="36" t="s">
        <v>98</v>
      </c>
      <c r="K2" s="37" t="s">
        <v>99</v>
      </c>
      <c r="L2" s="61" t="s">
        <v>99</v>
      </c>
    </row>
    <row r="3" spans="1:12" ht="13.5" thickBot="1">
      <c r="B3" s="26" t="s">
        <v>44</v>
      </c>
      <c r="C3" s="27" t="s">
        <v>102</v>
      </c>
      <c r="D3" s="28" t="s">
        <v>102</v>
      </c>
      <c r="E3" s="39" t="s">
        <v>102</v>
      </c>
      <c r="F3" s="27" t="s">
        <v>103</v>
      </c>
      <c r="G3" s="28" t="s">
        <v>103</v>
      </c>
      <c r="H3" s="28" t="s">
        <v>103</v>
      </c>
      <c r="I3" s="27" t="s">
        <v>104</v>
      </c>
      <c r="J3" s="28" t="s">
        <v>104</v>
      </c>
      <c r="K3" s="29" t="s">
        <v>104</v>
      </c>
      <c r="L3" s="74" t="s">
        <v>207</v>
      </c>
    </row>
    <row r="4" spans="1:12">
      <c r="A4" s="82" t="s">
        <v>23</v>
      </c>
      <c r="B4" s="12" t="s">
        <v>50</v>
      </c>
      <c r="C4" s="2">
        <f>IFERROR((s_DL)/(k_decay*Doses!E2*s_IFDres_adj*s_Fin*s_Fi),".")</f>
        <v>9.6018666636573249E-6</v>
      </c>
      <c r="D4" s="3">
        <f>IFERROR((s_DL)/(k_decay*Doses!L2*s_Fin*s_Fi*s_Fam*s_Foff*s_ETres*(1/24)*s_EFres*(1/365)*Isospec!R3),".")</f>
        <v>4.5584537598325863</v>
      </c>
      <c r="E4" s="3">
        <f t="shared" ref="E4" si="0">IFERROR(IF(AND(ISNUMBER(C4),ISNUMBER(D4)),(1/((1/C4)+(1/D4))),IF(AND(ISNUMBER(C4),NOT(ISNUMBER(D4))),(1/(1/C4)),IF(AND(NOT(ISNUMBER(C4)),ISNUMBER(D4)),(1/(1/D4)),"."))),".")</f>
        <v>9.601846438455078E-6</v>
      </c>
      <c r="F4" s="2">
        <f t="shared" ref="F4:F5" si="1">IFERROR(C4/s_1_bq,".")</f>
        <v>3.552690665553214E-7</v>
      </c>
      <c r="G4" s="3">
        <f t="shared" ref="G4:G5" si="2">IFERROR(D4/s_1_bq,".")</f>
        <v>0.16866278911380586</v>
      </c>
      <c r="H4" s="5">
        <f t="shared" ref="H4:H5" si="3">IFERROR(E4/s_1_bq,".")</f>
        <v>3.5526831822283824E-7</v>
      </c>
      <c r="I4" s="2">
        <f>IFERROR(C4*Isospec!C3*Isospec!F3*s_SSLcm_m,".")</f>
        <v>3.0245879990520574E-17</v>
      </c>
      <c r="J4" s="3">
        <f>IFERROR(D4*Isospec!C3*Isospec!F3*s_SSLcm_m,".")</f>
        <v>1.4359129343472649E-11</v>
      </c>
      <c r="K4" s="5">
        <f>IFERROR(E4*Isospec!C3*Isospec!F3*s_SSLcm_m,".")</f>
        <v>3.0245816281133499E-17</v>
      </c>
      <c r="L4" s="62">
        <f>IF(E4&lt;&gt;".",E4*2.22*100,".")</f>
        <v>2.1316099093370276E-3</v>
      </c>
    </row>
    <row r="5" spans="1:12">
      <c r="A5" s="83" t="s">
        <v>14</v>
      </c>
      <c r="B5" s="12" t="s">
        <v>44</v>
      </c>
      <c r="C5" s="2">
        <f>IFERROR((s_DL)/(k_decay*Doses!E3*s_IFDres_adj*s_Fin*s_Fi),".")</f>
        <v>9.6018666636573249E-6</v>
      </c>
      <c r="D5" s="3">
        <f>IFERROR((s_DL)/(k_decay*Doses!L3*s_Fin*s_Fi*s_Fam*s_Foff*s_ETres*(1/24)*s_EFres*(1/365)*Isospec!R4),".")</f>
        <v>4.9998850527808019</v>
      </c>
      <c r="E5" s="3">
        <f>IFERROR(IF(AND(ISNUMBER(C5),ISNUMBER(D5)),(1/((1/C5)+(1/D5))),IF(AND(ISNUMBER(C5),NOT(ISNUMBER(D5))),(1/(1/C5)),IF(AND(NOT(ISNUMBER(C5)),ISNUMBER(D5)),(1/(1/D5)),"."))),".")</f>
        <v>9.6018482241001351E-6</v>
      </c>
      <c r="F5" s="2">
        <f t="shared" si="1"/>
        <v>3.552690665553214E-7</v>
      </c>
      <c r="G5" s="3">
        <f t="shared" si="2"/>
        <v>0.18499574695288987</v>
      </c>
      <c r="H5" s="5">
        <f t="shared" si="3"/>
        <v>3.5526838429170538E-7</v>
      </c>
      <c r="I5" s="2">
        <f>IFERROR(C5*Isospec!C4*Isospec!F4*s_SSLcm_m,".")</f>
        <v>3.2396698123179811E-17</v>
      </c>
      <c r="J5" s="3">
        <f>IFERROR(D5*Isospec!C4*Isospec!F4*s_SSLcm_m,".")</f>
        <v>1.6869612168082426E-11</v>
      </c>
      <c r="K5" s="5">
        <f>IFERROR(E5*Isospec!C4*Isospec!F4*s_SSLcm_m,".")</f>
        <v>3.2396635908113861E-17</v>
      </c>
      <c r="L5" s="62">
        <f>IF(E5&lt;&gt;".",E5*2.22*100,".")</f>
        <v>2.1316103057502302E-3</v>
      </c>
    </row>
    <row r="6" spans="1:12">
      <c r="A6" s="82" t="s">
        <v>15</v>
      </c>
      <c r="B6" s="12" t="s">
        <v>50</v>
      </c>
      <c r="C6" s="2">
        <f>IFERROR((s_DL)/(k_decay*Doses!E4*s_IFDres_adj*s_Fin*s_Fi),".")</f>
        <v>9.6018666636573249E-6</v>
      </c>
      <c r="D6" s="3">
        <f>IFERROR((s_DL)/(k_decay*Doses!L4*s_Fin*s_Fi*s_Fam*s_Foff*s_ETres*(1/24)*s_EFres*(1/365)*Isospec!R5),".")</f>
        <v>9.1664559300981345</v>
      </c>
      <c r="E6" s="3">
        <f t="shared" ref="E6:E7" si="4">IFERROR(IF(AND(ISNUMBER(C6),ISNUMBER(D6)),(1/((1/C6)+(1/D6))),IF(AND(ISNUMBER(C6),NOT(ISNUMBER(D6))),(1/(1/C6)),IF(AND(NOT(ISNUMBER(C6)),ISNUMBER(D6)),(1/(1/D6)),"."))),".")</f>
        <v>9.6018566057082597E-6</v>
      </c>
      <c r="F6" s="2">
        <f t="shared" ref="F6:F8" si="5">IFERROR(C6/s_1_bq,".")</f>
        <v>3.552690665553214E-7</v>
      </c>
      <c r="G6" s="3">
        <f t="shared" ref="G6:G8" si="6">IFERROR(D6/s_1_bq,".")</f>
        <v>0.33915886941363133</v>
      </c>
      <c r="H6" s="5">
        <f t="shared" ref="H6:H8" si="7">IFERROR(E6/s_1_bq,".")</f>
        <v>3.5526869441120597E-7</v>
      </c>
      <c r="I6" s="2">
        <f>IFERROR(C6*Isospec!C5*Isospec!F5*s_SSLcm_m,".")</f>
        <v>2.9170470924190958E-17</v>
      </c>
      <c r="J6" s="3">
        <f>IFERROR(D6*Isospec!C5*Isospec!F5*s_SSLcm_m,".")</f>
        <v>2.7847693115638136E-11</v>
      </c>
      <c r="K6" s="5">
        <f>IFERROR(E6*Isospec!C5*Isospec!F5*s_SSLcm_m,".")</f>
        <v>2.9170440368141696E-17</v>
      </c>
      <c r="L6" s="62">
        <f t="shared" ref="L6:L7" si="8">IF(E6&lt;&gt;".",E6*2.22*100,".")</f>
        <v>2.1316121664672338E-3</v>
      </c>
    </row>
    <row r="7" spans="1:12">
      <c r="A7" s="82" t="s">
        <v>16</v>
      </c>
      <c r="B7" s="84" t="s">
        <v>50</v>
      </c>
      <c r="C7" s="2">
        <f>IFERROR((s_DL)/(k_decay*Doses!E5*s_IFDres_adj*s_Fin*s_Fi),".")</f>
        <v>9.6018666636573249E-6</v>
      </c>
      <c r="D7" s="3">
        <f>IFERROR((s_DL)/(k_decay*Doses!L5*s_Fin*s_Fi*s_Fam*s_Foff*s_ETres*(1/24)*s_EFres*(1/365)*Isospec!R6),".")</f>
        <v>2.8110464852300954</v>
      </c>
      <c r="E7" s="3">
        <f t="shared" si="4"/>
        <v>9.6018338660750039E-6</v>
      </c>
      <c r="F7" s="2">
        <f t="shared" si="5"/>
        <v>3.552690665553214E-7</v>
      </c>
      <c r="G7" s="3">
        <f t="shared" si="6"/>
        <v>0.10400871995351363</v>
      </c>
      <c r="H7" s="5">
        <f t="shared" si="7"/>
        <v>3.5526785304477551E-7</v>
      </c>
      <c r="I7" s="2">
        <f>IFERROR(C7*Isospec!C6*Isospec!F6*s_SSLcm_m,".")</f>
        <v>2.9304897057482154E-17</v>
      </c>
      <c r="J7" s="3">
        <f>IFERROR(D7*Isospec!C6*Isospec!F6*s_SSLcm_m,".")</f>
        <v>8.5793138729222515E-12</v>
      </c>
      <c r="K7" s="5">
        <f>IFERROR(E7*Isospec!C6*Isospec!F6*s_SSLcm_m,".")</f>
        <v>2.9304796959260916E-17</v>
      </c>
      <c r="L7" s="62">
        <f t="shared" si="8"/>
        <v>2.1316071182686507E-3</v>
      </c>
    </row>
    <row r="8" spans="1:12">
      <c r="A8" s="82" t="s">
        <v>18</v>
      </c>
      <c r="B8" s="12" t="s">
        <v>50</v>
      </c>
      <c r="C8" s="2">
        <f>IFERROR((s_DL)/(k_decay*Doses!E6*s_IFDres_adj*s_Fin*s_Fi),".")</f>
        <v>9.6018666636573249E-6</v>
      </c>
      <c r="D8" s="3">
        <f>IFERROR((s_DL)/(k_decay*Doses!L6*s_Fin*s_Fi*s_Fam*s_Foff*s_ETres*(1/24)*s_EFres*(1/365)*Isospec!R7),".")</f>
        <v>11.345030657879308</v>
      </c>
      <c r="E8" s="3">
        <f t="shared" ref="E8:E11" si="9">IFERROR(IF(AND(ISNUMBER(C8),ISNUMBER(D8)),(1/((1/C8)+(1/D8))),IF(AND(ISNUMBER(C8),NOT(ISNUMBER(D8))),(1/(1/C8)),IF(AND(NOT(ISNUMBER(C8)),ISNUMBER(D8)),(1/(1/D8)),"."))),".")</f>
        <v>9.6018585371243802E-6</v>
      </c>
      <c r="F8" s="2">
        <f t="shared" si="5"/>
        <v>3.552690665553214E-7</v>
      </c>
      <c r="G8" s="3">
        <f t="shared" si="6"/>
        <v>0.41976613434153481</v>
      </c>
      <c r="H8" s="5">
        <f t="shared" si="7"/>
        <v>3.5526876587360241E-7</v>
      </c>
      <c r="I8" s="2">
        <f>IFERROR(C8*Isospec!C7*Isospec!F7*s_SSLcm_m,".")</f>
        <v>1.8416380260894751E-17</v>
      </c>
      <c r="J8" s="3">
        <f>IFERROR(D8*Isospec!C7*Isospec!F7*s_SSLcm_m,".")</f>
        <v>2.1759768801812514E-11</v>
      </c>
      <c r="K8" s="5">
        <f>IFERROR(E8*Isospec!C7*Isospec!F7*s_SSLcm_m,".")</f>
        <v>1.841636467420456E-17</v>
      </c>
      <c r="L8" s="62">
        <f>IF(E8&lt;&gt;".",E8*2.22*100,".")</f>
        <v>2.1316125952416127E-3</v>
      </c>
    </row>
    <row r="9" spans="1:12">
      <c r="A9" s="82" t="s">
        <v>19</v>
      </c>
      <c r="B9" s="85" t="s">
        <v>50</v>
      </c>
      <c r="C9" s="2">
        <f>IFERROR((s_DL)/(k_decay*Doses!E7*s_IFDres_adj*s_Fin*s_Fi),".")</f>
        <v>9.6018666636573249E-6</v>
      </c>
      <c r="D9" s="3">
        <f>IFERROR((s_DL)/(k_decay*Doses!L7*s_Fin*s_Fi*s_Fam*s_Foff*s_ETres*(1/24)*s_EFres*(1/365)*Isospec!R8),".")</f>
        <v>9.805976111267773</v>
      </c>
      <c r="E9" s="3">
        <f t="shared" si="9"/>
        <v>9.601857261660818E-6</v>
      </c>
      <c r="F9" s="2">
        <f t="shared" ref="F9:F11" si="10">IFERROR(C9/s_1_bq,".")</f>
        <v>3.552690665553214E-7</v>
      </c>
      <c r="G9" s="3">
        <f t="shared" ref="G9:G11" si="11">IFERROR(D9/s_1_bq,".")</f>
        <v>0.36282111611690798</v>
      </c>
      <c r="H9" s="5">
        <f t="shared" ref="H9:H11" si="12">IFERROR(E9/s_1_bq,".")</f>
        <v>3.5526871868145064E-7</v>
      </c>
      <c r="I9" s="2">
        <f>IFERROR(C9*Isospec!C8*Isospec!F8*s_SSLcm_m,".")</f>
        <v>2.8229487991152532E-17</v>
      </c>
      <c r="J9" s="3">
        <f>IFERROR(D9*Isospec!C8*Isospec!F8*s_SSLcm_m,".")</f>
        <v>2.8829569767127254E-11</v>
      </c>
      <c r="K9" s="5">
        <f>IFERROR(E9*Isospec!C8*Isospec!F8*s_SSLcm_m,".")</f>
        <v>2.8229460349282806E-17</v>
      </c>
      <c r="L9" s="62">
        <f>IF(E9&lt;&gt;".",E9*2.22*100,".")</f>
        <v>2.1316123120887018E-3</v>
      </c>
    </row>
    <row r="10" spans="1:12">
      <c r="A10" s="82" t="s">
        <v>20</v>
      </c>
      <c r="B10" s="12" t="s">
        <v>50</v>
      </c>
      <c r="C10" s="2">
        <f>IFERROR((s_DL)/(k_decay*Doses!E8*s_IFDres_adj*s_Fin*s_Fi),".")</f>
        <v>9.6018666636573249E-6</v>
      </c>
      <c r="D10" s="3">
        <f>IFERROR((s_DL)/(k_decay*Doses!L8*s_Fin*s_Fi*s_Fam*s_Foff*s_ETres*(1/24)*s_EFres*(1/365)*Isospec!R9),".")</f>
        <v>10.765709943434407</v>
      </c>
      <c r="E10" s="3">
        <f t="shared" si="9"/>
        <v>9.6018580998225487E-6</v>
      </c>
      <c r="F10" s="2">
        <f t="shared" si="10"/>
        <v>3.552690665553214E-7</v>
      </c>
      <c r="G10" s="3">
        <f t="shared" si="11"/>
        <v>0.39833126790707346</v>
      </c>
      <c r="H10" s="5">
        <f t="shared" si="12"/>
        <v>3.5526874969343469E-7</v>
      </c>
      <c r="I10" s="2">
        <f>IFERROR(C10*Isospec!C9*Isospec!F9*s_SSLcm_m,".")</f>
        <v>2.8632766391026141E-17</v>
      </c>
      <c r="J10" s="3">
        <f>IFERROR(D10*Isospec!C9*Isospec!F9*s_SSLcm_m,".")</f>
        <v>3.2103347051321404E-11</v>
      </c>
      <c r="K10" s="5">
        <f>IFERROR(E10*Isospec!C9*Isospec!F9*s_SSLcm_m,".")</f>
        <v>2.8632740853670841E-17</v>
      </c>
      <c r="L10" s="62">
        <f t="shared" ref="L10:L11" si="13">IF(E10&lt;&gt;".",E10*2.22*100,".")</f>
        <v>2.1316124981606058E-3</v>
      </c>
    </row>
    <row r="11" spans="1:12">
      <c r="A11" s="82" t="s">
        <v>21</v>
      </c>
      <c r="B11" s="85" t="s">
        <v>50</v>
      </c>
      <c r="C11" s="2">
        <f>IFERROR((s_DL)/(k_decay*Doses!E9*s_IFDres_adj*s_Fin*s_Fi),".")</f>
        <v>9.6018666636573249E-6</v>
      </c>
      <c r="D11" s="3">
        <f>IFERROR((s_DL)/(k_decay*Doses!L9*s_Fin*s_Fi*s_Fam*s_Foff*s_ETres*(1/24)*s_EFres*(1/365)*Isospec!R10),".")</f>
        <v>11.933687908995688</v>
      </c>
      <c r="E11" s="3">
        <f t="shared" si="9"/>
        <v>9.6018589379844267E-6</v>
      </c>
      <c r="F11" s="2">
        <f t="shared" si="10"/>
        <v>3.552690665553214E-7</v>
      </c>
      <c r="G11" s="3">
        <f t="shared" si="11"/>
        <v>0.44154645263284092</v>
      </c>
      <c r="H11" s="5">
        <f t="shared" si="12"/>
        <v>3.5526878070542413E-7</v>
      </c>
      <c r="I11" s="2">
        <f>IFERROR(C11*Isospec!C10*Isospec!F10*s_SSLcm_m,".")</f>
        <v>2.876719252431735E-17</v>
      </c>
      <c r="J11" s="3">
        <f>IFERROR(D11*Isospec!C10*Isospec!F10*s_SSLcm_m,".")</f>
        <v>3.5753328975351086E-11</v>
      </c>
      <c r="K11" s="5">
        <f>IFERROR(E11*Isospec!C10*Isospec!F10*s_SSLcm_m,".")</f>
        <v>2.8767169378201341E-17</v>
      </c>
      <c r="L11" s="62">
        <f t="shared" si="13"/>
        <v>2.1316126842325428E-3</v>
      </c>
    </row>
    <row r="12" spans="1:12">
      <c r="A12" s="83" t="s">
        <v>17</v>
      </c>
      <c r="B12" s="12" t="s">
        <v>44</v>
      </c>
      <c r="C12" s="2">
        <f>IFERROR((s_DL)/(k_decay*Doses!E10*s_IFDres_adj*s_Fin*s_Fi),".")</f>
        <v>9.6018666636573249E-6</v>
      </c>
      <c r="D12" s="3">
        <f>IFERROR((s_DL)/(k_decay*Doses!L10*s_Fin*s_Fi*s_Fam*s_Foff*s_ETres*(1/24)*s_EFres*(1/365)*Isospec!R11),".")</f>
        <v>10.720092528419856</v>
      </c>
      <c r="E12" s="3">
        <f t="shared" ref="E12" si="14">IFERROR(IF(AND(ISNUMBER(C12),ISNUMBER(D12)),(1/((1/C12)+(1/D12))),IF(AND(ISNUMBER(C12),NOT(ISNUMBER(D12))),(1/(1/C12)),IF(AND(NOT(ISNUMBER(C12)),ISNUMBER(D12)),(1/(1/D12)),"."))),".")</f>
        <v>9.6018580633807315E-6</v>
      </c>
      <c r="F12" s="2">
        <f t="shared" ref="F12" si="15">IFERROR(C12/s_1_bq,".")</f>
        <v>3.552690665553214E-7</v>
      </c>
      <c r="G12" s="3">
        <f t="shared" ref="G12" si="16">IFERROR(D12/s_1_bq,".")</f>
        <v>0.39664342355153509</v>
      </c>
      <c r="H12" s="5">
        <f t="shared" ref="H12" si="17">IFERROR(E12/s_1_bq,".")</f>
        <v>3.5526874834508741E-7</v>
      </c>
      <c r="I12" s="2">
        <f>IFERROR(C12*Isospec!C11*Isospec!F11*s_SSLcm_m,".")</f>
        <v>1.8416380260894751E-17</v>
      </c>
      <c r="J12" s="3">
        <f>IFERROR(D12*Isospec!C11*Isospec!F11*s_SSLcm_m,".")</f>
        <v>2.0561137469509284E-11</v>
      </c>
      <c r="K12" s="5">
        <f>IFERROR(E12*Isospec!C11*Isospec!F11*s_SSLcm_m,".")</f>
        <v>1.8416363765564242E-17</v>
      </c>
      <c r="L12" s="62">
        <f t="shared" ref="L12" si="18">IF(E12&lt;&gt;".",E12*2.22*100,".")</f>
        <v>2.1316124900705225E-3</v>
      </c>
    </row>
    <row r="13" spans="1:12">
      <c r="A13" s="82" t="s">
        <v>24</v>
      </c>
      <c r="B13" s="12" t="s">
        <v>50</v>
      </c>
      <c r="C13" s="2">
        <f>IFERROR((s_DL)/(k_decay*Doses!E11*s_IFDres_adj*s_Fin*s_Fi),".")</f>
        <v>9.6018666636573249E-6</v>
      </c>
      <c r="D13" s="3">
        <f>IFERROR((s_DL)/(k_decay*Doses!L11*s_Fin*s_Fi*s_Fam*s_Foff*s_ETres*(1/24)*s_EFres*(1/365)*Isospec!R12),".")</f>
        <v>8.6641843722845397</v>
      </c>
      <c r="E13" s="3">
        <f t="shared" ref="E13" si="19">IFERROR(IF(AND(ISNUMBER(C13),ISNUMBER(D13)),(1/((1/C13)+(1/D13))),IF(AND(ISNUMBER(C13),NOT(ISNUMBER(D13))),(1/(1/C13)),IF(AND(NOT(ISNUMBER(C13)),ISNUMBER(D13)),(1/(1/D13)),"."))),".")</f>
        <v>9.6018560226393949E-6</v>
      </c>
      <c r="F13" s="2">
        <f t="shared" ref="F13" si="20">IFERROR(C13/s_1_bq,".")</f>
        <v>3.552690665553214E-7</v>
      </c>
      <c r="G13" s="3">
        <f t="shared" ref="G13" si="21">IFERROR(D13/s_1_bq,".")</f>
        <v>0.32057482177452828</v>
      </c>
      <c r="H13" s="5">
        <f t="shared" ref="H13" si="22">IFERROR(E13/s_1_bq,".")</f>
        <v>3.5526867283765796E-7</v>
      </c>
      <c r="I13" s="2">
        <f>IFERROR(C13*Isospec!C12*Isospec!F12*s_SSLcm_m,".")</f>
        <v>2.9708175457355763E-17</v>
      </c>
      <c r="J13" s="3">
        <f>IFERROR(D13*Isospec!C12*Isospec!F12*s_SSLcm_m,".")</f>
        <v>2.6806986447848367E-11</v>
      </c>
      <c r="K13" s="5">
        <f>IFERROR(E13*Isospec!C12*Isospec!F12*s_SSLcm_m,".")</f>
        <v>2.9708142534046289E-17</v>
      </c>
      <c r="L13" s="62">
        <f t="shared" ref="L13" si="23">IF(E13&lt;&gt;".",E13*2.22*100,".")</f>
        <v>2.1316120370259459E-3</v>
      </c>
    </row>
    <row r="14" spans="1:12">
      <c r="A14" s="82" t="s">
        <v>22</v>
      </c>
      <c r="B14" s="84" t="s">
        <v>50</v>
      </c>
      <c r="C14" s="2">
        <f>IFERROR((s_DL)/(k_decay*Doses!E12*s_IFDres_adj*s_Fin*s_Fi),".")</f>
        <v>9.6018666636573249E-6</v>
      </c>
      <c r="D14" s="3">
        <f>IFERROR((s_DL)/(k_decay*Doses!L12*s_Fin*s_Fi*s_Fam*s_Foff*s_ETres*(1/24)*s_EFres*(1/365)*Isospec!R13),".")</f>
        <v>9.8825852996370536</v>
      </c>
      <c r="E14" s="3">
        <f t="shared" ref="E14" si="24">IFERROR(IF(AND(ISNUMBER(C14),ISNUMBER(D14)),(1/((1/C14)+(1/D14))),IF(AND(ISNUMBER(C14),NOT(ISNUMBER(D14))),(1/(1/C14)),IF(AND(NOT(ISNUMBER(C14)),ISNUMBER(D14)),(1/(1/D14)),"."))),".")</f>
        <v>9.6018573345444405E-6</v>
      </c>
      <c r="F14" s="2">
        <f t="shared" ref="F14" si="25">IFERROR(C14/s_1_bq,".")</f>
        <v>3.552690665553214E-7</v>
      </c>
      <c r="G14" s="3">
        <f t="shared" ref="G14" si="26">IFERROR(D14/s_1_bq,".")</f>
        <v>0.36565565608657136</v>
      </c>
      <c r="H14" s="5">
        <f t="shared" ref="H14" si="27">IFERROR(E14/s_1_bq,".")</f>
        <v>3.5526872137814467E-7</v>
      </c>
      <c r="I14" s="2">
        <f>IFERROR(C14*Isospec!C13*Isospec!F13*s_SSLcm_m,".")</f>
        <v>2.7691783457987725E-17</v>
      </c>
      <c r="J14" s="3">
        <f>IFERROR(D14*Isospec!C13*Isospec!F13*s_SSLcm_m,".")</f>
        <v>2.8501376004153269E-11</v>
      </c>
      <c r="K14" s="5">
        <f>IFERROR(E14*Isospec!C13*Isospec!F13*s_SSLcm_m,".")</f>
        <v>2.7691756552826169E-17</v>
      </c>
      <c r="L14" s="62">
        <f t="shared" ref="L14" si="28">IF(E14&lt;&gt;".",E14*2.22*100,".")</f>
        <v>2.1316123282688663E-3</v>
      </c>
    </row>
    <row r="15" spans="1:12">
      <c r="A15" s="82" t="s">
        <v>28</v>
      </c>
      <c r="B15" s="12" t="s">
        <v>50</v>
      </c>
      <c r="C15" s="2">
        <f>IFERROR((s_DL)/(k_decay*Doses!E13*s_IFDres_adj*s_Fin*s_Fi),".")</f>
        <v>9.6018666636573249E-6</v>
      </c>
      <c r="D15" s="3">
        <f>IFERROR((s_DL)/(k_decay*Doses!L13*s_Fin*s_Fi*s_Fam*s_Foff*s_ETres*(1/24)*s_EFres*(1/365)*Isospec!R14),".")</f>
        <v>4.6764174430814887</v>
      </c>
      <c r="E15" s="3">
        <f t="shared" ref="E15:E16" si="29">IFERROR(IF(AND(ISNUMBER(C15),ISNUMBER(D15)),(1/((1/C15)+(1/D15))),IF(AND(ISNUMBER(C15),NOT(ISNUMBER(D15))),(1/(1/C15)),IF(AND(NOT(ISNUMBER(C15)),ISNUMBER(D15)),(1/(1/D15)),"."))),".")</f>
        <v>9.6018469486393106E-6</v>
      </c>
      <c r="F15" s="2">
        <f t="shared" ref="F15:F16" si="30">IFERROR(C15/s_1_bq,".")</f>
        <v>3.552690665553214E-7</v>
      </c>
      <c r="G15" s="3">
        <f t="shared" ref="G15:G16" si="31">IFERROR(D15/s_1_bq,".")</f>
        <v>0.17302744539401527</v>
      </c>
      <c r="H15" s="5">
        <f t="shared" ref="H15:H16" si="32">IFERROR(E15/s_1_bq,".")</f>
        <v>3.5526833709965484E-7</v>
      </c>
      <c r="I15" s="2">
        <f>IFERROR(C15*Isospec!C14*Isospec!F14*s_SSLcm_m,".")</f>
        <v>3.1858993590015006E-17</v>
      </c>
      <c r="J15" s="3">
        <f>IFERROR(D15*Isospec!C14*Isospec!F14*s_SSLcm_m,".")</f>
        <v>1.5516353076144379E-11</v>
      </c>
      <c r="K15" s="5">
        <f>IFERROR(E15*Isospec!C14*Isospec!F14*s_SSLcm_m,".")</f>
        <v>3.1858928175585234E-17</v>
      </c>
      <c r="L15" s="62">
        <f t="shared" ref="L15:L16" si="33">IF(E15&lt;&gt;".",E15*2.22*100,".")</f>
        <v>2.1316100225979269E-3</v>
      </c>
    </row>
    <row r="16" spans="1:12">
      <c r="A16" s="82" t="s">
        <v>29</v>
      </c>
      <c r="B16" s="12" t="s">
        <v>50</v>
      </c>
      <c r="C16" s="2">
        <f>IFERROR((s_DL)/(k_decay*Doses!E14*s_IFDres_adj*s_Fin*s_Fi),".")</f>
        <v>9.6018666636573249E-6</v>
      </c>
      <c r="D16" s="3">
        <f>IFERROR((s_DL)/(k_decay*Doses!L14*s_Fin*s_Fi*s_Fam*s_Foff*s_ETres*(1/24)*s_EFres*(1/365)*Isospec!R15),".")</f>
        <v>6.9887896041632205</v>
      </c>
      <c r="E16" s="3">
        <f t="shared" si="29"/>
        <v>9.6018534717139444E-6</v>
      </c>
      <c r="F16" s="2">
        <f t="shared" si="30"/>
        <v>3.552690665553214E-7</v>
      </c>
      <c r="G16" s="3">
        <f t="shared" si="31"/>
        <v>0.25858521535403944</v>
      </c>
      <c r="H16" s="5">
        <f t="shared" si="32"/>
        <v>3.5526857845341632E-7</v>
      </c>
      <c r="I16" s="2">
        <f>IFERROR(C16*Isospec!C15*Isospec!F15*s_SSLcm_m,".")</f>
        <v>3.1321289056850195E-17</v>
      </c>
      <c r="J16" s="3">
        <f>IFERROR(D16*Isospec!C15*Isospec!F15*s_SSLcm_m,".")</f>
        <v>2.2797431688780428E-11</v>
      </c>
      <c r="K16" s="5">
        <f>IFERROR(E16*Isospec!C15*Isospec!F15*s_SSLcm_m,".")</f>
        <v>3.132124602473089E-17</v>
      </c>
      <c r="L16" s="62">
        <f t="shared" si="33"/>
        <v>2.1316114707204958E-3</v>
      </c>
    </row>
    <row r="17" spans="1:12">
      <c r="A17" s="82" t="s">
        <v>32</v>
      </c>
      <c r="B17" s="12" t="s">
        <v>50</v>
      </c>
      <c r="C17" s="2">
        <f>IFERROR((s_DL)/(k_decay*Doses!E15*s_IFDres_adj*s_Fin*s_Fi),".")</f>
        <v>9.6018666636573249E-6</v>
      </c>
      <c r="D17" s="3">
        <f>IFERROR((s_DL)/(k_decay*Doses!L15*s_Fin*s_Fi*s_Fam*s_Foff*s_ETres*(1/24)*s_EFres*(1/365)*Isospec!R16),".")</f>
        <v>2.8110464852300954</v>
      </c>
      <c r="E17" s="3">
        <f t="shared" ref="E17:E20" si="34">IFERROR(IF(AND(ISNUMBER(C17),ISNUMBER(D17)),(1/((1/C17)+(1/D17))),IF(AND(ISNUMBER(C17),NOT(ISNUMBER(D17))),(1/(1/C17)),IF(AND(NOT(ISNUMBER(C17)),ISNUMBER(D17)),(1/(1/D17)),"."))),".")</f>
        <v>9.6018338660750039E-6</v>
      </c>
      <c r="F17" s="2">
        <f t="shared" ref="F17:F23" si="35">IFERROR(C17/s_1_bq,".")</f>
        <v>3.552690665553214E-7</v>
      </c>
      <c r="G17" s="3">
        <f t="shared" ref="G17:G23" si="36">IFERROR(D17/s_1_bq,".")</f>
        <v>0.10400871995351363</v>
      </c>
      <c r="H17" s="5">
        <f t="shared" ref="H17:H23" si="37">IFERROR(E17/s_1_bq,".")</f>
        <v>3.5526785304477551E-7</v>
      </c>
      <c r="I17" s="2">
        <f>IFERROR(C17*Isospec!C16*Isospec!F16*s_SSLcm_m,".")</f>
        <v>2.809506185786133E-17</v>
      </c>
      <c r="J17" s="3">
        <f>IFERROR(D17*Isospec!C16*Isospec!F16*s_SSLcm_m,".")</f>
        <v>8.2251220157832607E-12</v>
      </c>
      <c r="K17" s="5">
        <f>IFERROR(E17*Isospec!C16*Isospec!F16*s_SSLcm_m,".")</f>
        <v>2.8094965892135466E-17</v>
      </c>
      <c r="L17" s="62">
        <f t="shared" ref="L17:L23" si="38">IF(E17&lt;&gt;".",E17*2.22*100,".")</f>
        <v>2.1316071182686507E-3</v>
      </c>
    </row>
    <row r="18" spans="1:12">
      <c r="A18" s="82" t="s">
        <v>33</v>
      </c>
      <c r="B18" s="85" t="s">
        <v>50</v>
      </c>
      <c r="C18" s="2">
        <f>IFERROR((s_DL)/(k_decay*Doses!E16*s_IFDres_adj*s_Fin*s_Fi),".")</f>
        <v>9.6018666636573249E-6</v>
      </c>
      <c r="D18" s="3">
        <f>IFERROR((s_DL)/(k_decay*Doses!L16*s_Fin*s_Fi*s_Fam*s_Foff*s_ETres*(1/24)*s_EFres*(1/365)*Isospec!R17),".")</f>
        <v>3.6612761746846396</v>
      </c>
      <c r="E18" s="3">
        <f t="shared" si="34"/>
        <v>9.601841482382479E-6</v>
      </c>
      <c r="F18" s="2">
        <f t="shared" si="35"/>
        <v>3.552690665553214E-7</v>
      </c>
      <c r="G18" s="3">
        <f t="shared" si="36"/>
        <v>0.13546721846333179</v>
      </c>
      <c r="H18" s="5">
        <f t="shared" si="37"/>
        <v>3.5526813484815207E-7</v>
      </c>
      <c r="I18" s="2">
        <f>IFERROR(C18*Isospec!C17*Isospec!F17*s_SSLcm_m,".")</f>
        <v>2.8229487991152532E-17</v>
      </c>
      <c r="J18" s="3">
        <f>IFERROR(D18*Isospec!C17*Isospec!F17*s_SSLcm_m,".")</f>
        <v>1.0764151953572841E-11</v>
      </c>
      <c r="K18" s="5">
        <f>IFERROR(E18*Isospec!C17*Isospec!F17*s_SSLcm_m,".")</f>
        <v>2.8229413958204489E-17</v>
      </c>
      <c r="L18" s="62">
        <f t="shared" si="38"/>
        <v>2.1316088090889106E-3</v>
      </c>
    </row>
    <row r="19" spans="1:12">
      <c r="A19" s="82" t="s">
        <v>34</v>
      </c>
      <c r="B19" s="85" t="s">
        <v>50</v>
      </c>
      <c r="C19" s="2">
        <f>IFERROR((s_DL)/(k_decay*Doses!E17*s_IFDres_adj*s_Fin*s_Fi),".")</f>
        <v>9.6018666636573249E-6</v>
      </c>
      <c r="D19" s="3">
        <f>IFERROR((s_DL)/(k_decay*Doses!L17*s_Fin*s_Fi*s_Fam*s_Foff*s_ETres*(1/24)*s_EFres*(1/365)*Isospec!R18),".")</f>
        <v>9.3012567525995795</v>
      </c>
      <c r="E19" s="3">
        <f t="shared" si="34"/>
        <v>9.601856751475486E-6</v>
      </c>
      <c r="F19" s="2">
        <f t="shared" si="35"/>
        <v>3.552690665553214E-7</v>
      </c>
      <c r="G19" s="3">
        <f t="shared" si="36"/>
        <v>0.34414649984618478</v>
      </c>
      <c r="H19" s="5">
        <f t="shared" si="37"/>
        <v>3.5526869980459334E-7</v>
      </c>
      <c r="I19" s="2">
        <f>IFERROR(C19*Isospec!C18*Isospec!F18*s_SSLcm_m,".")</f>
        <v>2.876719252431735E-17</v>
      </c>
      <c r="J19" s="3">
        <f>IFERROR(D19*Isospec!C18*Isospec!F18*s_SSLcm_m,".")</f>
        <v>2.7866565230788339E-11</v>
      </c>
      <c r="K19" s="5">
        <f>IFERROR(E19*Isospec!C18*Isospec!F18*s_SSLcm_m,".")</f>
        <v>2.8767162827420555E-17</v>
      </c>
      <c r="L19" s="62">
        <f t="shared" si="38"/>
        <v>2.1316121988275579E-3</v>
      </c>
    </row>
    <row r="20" spans="1:12">
      <c r="A20" s="82" t="s">
        <v>36</v>
      </c>
      <c r="B20" s="85" t="s">
        <v>50</v>
      </c>
      <c r="C20" s="2">
        <f>IFERROR((s_DL)/(k_decay*Doses!E18*s_IFDres_adj*s_Fin*s_Fi),".")</f>
        <v>9.6018666636573249E-6</v>
      </c>
      <c r="D20" s="3">
        <f>IFERROR((s_DL)/(k_decay*Doses!L18*s_Fin*s_Fi*s_Fam*s_Foff*s_ETres*(1/24)*s_EFres*(1/365)*Isospec!R19),".")</f>
        <v>11.71269368845873</v>
      </c>
      <c r="E20" s="3">
        <f t="shared" si="34"/>
        <v>9.6018587922171326E-6</v>
      </c>
      <c r="F20" s="2">
        <f t="shared" si="35"/>
        <v>3.552690665553214E-7</v>
      </c>
      <c r="G20" s="3">
        <f t="shared" si="36"/>
        <v>0.43336966647297342</v>
      </c>
      <c r="H20" s="5">
        <f t="shared" si="37"/>
        <v>3.5526877531203427E-7</v>
      </c>
      <c r="I20" s="2">
        <f>IFERROR(C20*Isospec!C19*Isospec!F19*s_SSLcm_m,".")</f>
        <v>2.8229487991152532E-17</v>
      </c>
      <c r="J20" s="3">
        <f>IFERROR(D20*Isospec!C19*Isospec!F19*s_SSLcm_m,".")</f>
        <v>3.4435319444068666E-11</v>
      </c>
      <c r="K20" s="5">
        <f>IFERROR(E20*Isospec!C19*Isospec!F19*s_SSLcm_m,".")</f>
        <v>2.8229464849118373E-17</v>
      </c>
      <c r="L20" s="62">
        <f t="shared" si="38"/>
        <v>2.1316126518722035E-3</v>
      </c>
    </row>
    <row r="21" spans="1:12">
      <c r="A21" s="82" t="s">
        <v>37</v>
      </c>
      <c r="B21" s="12" t="s">
        <v>50</v>
      </c>
      <c r="C21" s="2">
        <f>IFERROR((s_DL)/(k_decay*Doses!E19*s_IFDres_adj*s_Fin*s_Fi),".")</f>
        <v>9.6018666636573249E-6</v>
      </c>
      <c r="D21" s="3">
        <f>IFERROR((s_DL)/(k_decay*Doses!L19*s_Fin*s_Fi*s_Fam*s_Foff*s_ETres*(1/24)*s_EFres*(1/365)*Isospec!R20),".")</f>
        <v>11.658718141507308</v>
      </c>
      <c r="E21" s="3">
        <f t="shared" ref="E21:E23" si="39">IFERROR(IF(AND(ISNUMBER(C21),ISNUMBER(D21)),(1/((1/C21)+(1/D21))),IF(AND(ISNUMBER(C21),NOT(ISNUMBER(D21))),(1/(1/C21)),IF(AND(NOT(ISNUMBER(C21)),ISNUMBER(D21)),(1/(1/D21)),"."))),".")</f>
        <v>9.6018587557753103E-6</v>
      </c>
      <c r="F21" s="2">
        <f t="shared" si="35"/>
        <v>3.552690665553214E-7</v>
      </c>
      <c r="G21" s="3">
        <f t="shared" si="36"/>
        <v>0.43137257123577083</v>
      </c>
      <c r="H21" s="5">
        <f t="shared" si="37"/>
        <v>3.5526877396368683E-7</v>
      </c>
      <c r="I21" s="2">
        <f>IFERROR(C21*Isospec!C20*Isospec!F20*s_SSLcm_m,".")</f>
        <v>2.8632766391026141E-17</v>
      </c>
      <c r="J21" s="3">
        <f>IFERROR(D21*Isospec!C20*Isospec!F20*s_SSLcm_m,".")</f>
        <v>3.4766297497974795E-11</v>
      </c>
      <c r="K21" s="5">
        <f>IFERROR(E21*Isospec!C20*Isospec!F20*s_SSLcm_m,".")</f>
        <v>2.8632742809721973E-17</v>
      </c>
      <c r="L21" s="62">
        <f t="shared" si="38"/>
        <v>2.1316126437821194E-3</v>
      </c>
    </row>
    <row r="22" spans="1:12">
      <c r="A22" s="82" t="s">
        <v>38</v>
      </c>
      <c r="B22" s="85" t="s">
        <v>50</v>
      </c>
      <c r="C22" s="2">
        <f>IFERROR((s_DL)/(k_decay*Doses!E20*s_IFDres_adj*s_Fin*s_Fi),".")</f>
        <v>9.6018666636573249E-6</v>
      </c>
      <c r="D22" s="3">
        <f>IFERROR((s_DL)/(k_decay*Doses!L20*s_Fin*s_Fi*s_Fam*s_Foff*s_ETres*(1/24)*s_EFres*(1/365)*Isospec!R21),".")</f>
        <v>11.71269368845873</v>
      </c>
      <c r="E22" s="3">
        <f t="shared" si="39"/>
        <v>9.6018587922171326E-6</v>
      </c>
      <c r="F22" s="2">
        <f t="shared" si="35"/>
        <v>3.552690665553214E-7</v>
      </c>
      <c r="G22" s="3">
        <f t="shared" si="36"/>
        <v>0.43336966647297342</v>
      </c>
      <c r="H22" s="5">
        <f t="shared" si="37"/>
        <v>3.5526877531203427E-7</v>
      </c>
      <c r="I22" s="2">
        <f>IFERROR(C22*Isospec!C21*Isospec!F21*s_SSLcm_m,".")</f>
        <v>2.876719252431735E-17</v>
      </c>
      <c r="J22" s="3">
        <f>IFERROR(D22*Isospec!C21*Isospec!F21*s_SSLcm_m,".")</f>
        <v>3.5091230290622351E-11</v>
      </c>
      <c r="K22" s="5">
        <f>IFERROR(E22*Isospec!C21*Isospec!F21*s_SSLcm_m,".")</f>
        <v>2.8767168941482532E-17</v>
      </c>
      <c r="L22" s="62">
        <f t="shared" si="38"/>
        <v>2.1316126518722035E-3</v>
      </c>
    </row>
    <row r="23" spans="1:12">
      <c r="A23" s="82" t="s">
        <v>39</v>
      </c>
      <c r="B23" s="85" t="s">
        <v>50</v>
      </c>
      <c r="C23" s="2">
        <f>IFERROR((s_DL)/(k_decay*Doses!E21*s_IFDres_adj*s_Fin*s_Fi),".")</f>
        <v>9.6018666636573249E-6</v>
      </c>
      <c r="D23" s="3">
        <f>IFERROR((s_DL)/(k_decay*Doses!L21*s_Fin*s_Fi*s_Fam*s_Foff*s_ETres*(1/24)*s_EFres*(1/365)*Isospec!R22),".")</f>
        <v>2.8110464852300954</v>
      </c>
      <c r="E23" s="3">
        <f t="shared" si="39"/>
        <v>9.6018338660750039E-6</v>
      </c>
      <c r="F23" s="2">
        <f t="shared" si="35"/>
        <v>3.552690665553214E-7</v>
      </c>
      <c r="G23" s="3">
        <f t="shared" si="36"/>
        <v>0.10400871995351363</v>
      </c>
      <c r="H23" s="5">
        <f t="shared" si="37"/>
        <v>3.5526785304477551E-7</v>
      </c>
      <c r="I23" s="2">
        <f>IFERROR(C23*Isospec!C22*Isospec!F22*s_SSLcm_m,".")</f>
        <v>2.9304897057482154E-17</v>
      </c>
      <c r="J23" s="3">
        <f>IFERROR(D23*Isospec!C22*Isospec!F22*s_SSLcm_m,".")</f>
        <v>8.5793138729222515E-12</v>
      </c>
      <c r="K23" s="5">
        <f>IFERROR(E23*Isospec!C22*Isospec!F22*s_SSLcm_m,".")</f>
        <v>2.9304796959260916E-17</v>
      </c>
      <c r="L23" s="62">
        <f t="shared" si="38"/>
        <v>2.1316071182686507E-3</v>
      </c>
    </row>
    <row r="24" spans="1:12">
      <c r="A24" s="82" t="s">
        <v>26</v>
      </c>
      <c r="B24" s="12" t="s">
        <v>50</v>
      </c>
      <c r="C24" s="2">
        <f>IFERROR((s_DL)/(k_decay*Doses!E22*s_IFDres_adj*s_Fin*s_Fi),".")</f>
        <v>9.6018666636573249E-6</v>
      </c>
      <c r="D24" s="3">
        <f>IFERROR((s_DL)/(k_decay*Doses!L22*s_Fin*s_Fi*s_Fam*s_Foff*s_ETres*(1/24)*s_EFres*(1/365)*Isospec!R23),".")</f>
        <v>5.3487142425096952</v>
      </c>
      <c r="E24" s="3">
        <f t="shared" ref="E24:E25" si="40">IFERROR(IF(AND(ISNUMBER(C24),ISNUMBER(D24)),(1/((1/C24)+(1/D24))),IF(AND(ISNUMBER(C24),NOT(ISNUMBER(D24))),(1/(1/C24)),IF(AND(NOT(ISNUMBER(C24)),ISNUMBER(D24)),(1/(1/D24)),"."))),".")</f>
        <v>9.6018494266777929E-6</v>
      </c>
      <c r="F24" s="2">
        <f t="shared" ref="F24:F25" si="41">IFERROR(C24/s_1_bq,".")</f>
        <v>3.552690665553214E-7</v>
      </c>
      <c r="G24" s="3">
        <f t="shared" ref="G24:G25" si="42">IFERROR(D24/s_1_bq,".")</f>
        <v>0.19790242697285892</v>
      </c>
      <c r="H24" s="5">
        <f t="shared" ref="H24:H25" si="43">IFERROR(E24/s_1_bq,".")</f>
        <v>3.5526842878707868E-7</v>
      </c>
      <c r="I24" s="2">
        <f>IFERROR(C24*Isospec!C23*Isospec!F23*s_SSLcm_m,".")</f>
        <v>3.0245879990520574E-17</v>
      </c>
      <c r="J24" s="3">
        <f>IFERROR(D24*Isospec!C23*Isospec!F23*s_SSLcm_m,".")</f>
        <v>1.684844986390554E-11</v>
      </c>
      <c r="K24" s="5">
        <f>IFERROR(E24*Isospec!C23*Isospec!F23*s_SSLcm_m,".")</f>
        <v>3.0245825694035046E-17</v>
      </c>
      <c r="L24" s="62">
        <f t="shared" ref="L24:L25" si="44">IF(E24&lt;&gt;".",E24*2.22*100,".")</f>
        <v>2.1316105727224701E-3</v>
      </c>
    </row>
    <row r="25" spans="1:12">
      <c r="A25" s="83" t="s">
        <v>27</v>
      </c>
      <c r="B25" s="85" t="s">
        <v>44</v>
      </c>
      <c r="C25" s="2">
        <f>IFERROR((s_DL)/(k_decay*Doses!E23*s_IFDres_adj*s_Fin*s_Fi),".")</f>
        <v>9.6018666636573249E-6</v>
      </c>
      <c r="D25" s="3">
        <f>IFERROR((s_DL)/(k_decay*Doses!L23*s_Fin*s_Fi*s_Fam*s_Foff*s_ETres*(1/24)*s_EFres*(1/365)*Isospec!R24),".")</f>
        <v>8.006145052870524</v>
      </c>
      <c r="E25" s="3">
        <f t="shared" si="40"/>
        <v>9.60185514803623E-6</v>
      </c>
      <c r="F25" s="2">
        <f t="shared" si="41"/>
        <v>3.552690665553214E-7</v>
      </c>
      <c r="G25" s="3">
        <f t="shared" si="42"/>
        <v>0.29622736695620971</v>
      </c>
      <c r="H25" s="5">
        <f t="shared" si="43"/>
        <v>3.5526864047734089E-7</v>
      </c>
      <c r="I25" s="2">
        <f>IFERROR(C25*Isospec!C24*Isospec!F24*s_SSLcm_m,".")</f>
        <v>3.0380306123811776E-17</v>
      </c>
      <c r="J25" s="3">
        <f>IFERROR(D25*Isospec!C24*Isospec!F24*s_SSLcm_m,".")</f>
        <v>2.5331442947282339E-11</v>
      </c>
      <c r="K25" s="5">
        <f>IFERROR(E25*Isospec!C24*Isospec!F24*s_SSLcm_m,".")</f>
        <v>3.0380269688386631E-17</v>
      </c>
      <c r="L25" s="62">
        <f t="shared" si="44"/>
        <v>2.1316118428640432E-3</v>
      </c>
    </row>
    <row r="26" spans="1:12">
      <c r="A26" s="82" t="s">
        <v>30</v>
      </c>
      <c r="B26" s="85" t="s">
        <v>50</v>
      </c>
      <c r="C26" s="2">
        <f>IFERROR((s_DL)/(k_decay*Doses!E24*s_IFDres_adj*s_Fin*s_Fi),".")</f>
        <v>9.6018666636573249E-6</v>
      </c>
      <c r="D26" s="3">
        <f>IFERROR((s_DL)/(k_decay*Doses!L24*s_Fin*s_Fi*s_Fam*s_Foff*s_ETres*(1/24)*s_EFres*(1/365)*Isospec!R25),".")</f>
        <v>11.345030657879308</v>
      </c>
      <c r="E26" s="3">
        <f t="shared" ref="E26:E27" si="45">IFERROR(IF(AND(ISNUMBER(C26),ISNUMBER(D26)),(1/((1/C26)+(1/D26))),IF(AND(ISNUMBER(C26),NOT(ISNUMBER(D26))),(1/(1/C26)),IF(AND(NOT(ISNUMBER(C26)),ISNUMBER(D26)),(1/(1/D26)),"."))),".")</f>
        <v>9.6018585371243802E-6</v>
      </c>
      <c r="F26" s="2">
        <f t="shared" ref="F26" si="46">IFERROR(C26/s_1_bq,".")</f>
        <v>3.552690665553214E-7</v>
      </c>
      <c r="G26" s="3">
        <f t="shared" ref="G26" si="47">IFERROR(D26/s_1_bq,".")</f>
        <v>0.41976613434153481</v>
      </c>
      <c r="H26" s="5">
        <f t="shared" ref="H26" si="48">IFERROR(E26/s_1_bq,".")</f>
        <v>3.5526876587360241E-7</v>
      </c>
      <c r="I26" s="2">
        <f>IFERROR(C26*Isospec!C25*Isospec!F25*s_SSLcm_m,".")</f>
        <v>2.9304897057482154E-17</v>
      </c>
      <c r="J26" s="3">
        <f>IFERROR(D26*Isospec!C25*Isospec!F25*s_SSLcm_m,".")</f>
        <v>3.4625033567847648E-11</v>
      </c>
      <c r="K26" s="5">
        <f>IFERROR(E26*Isospec!C25*Isospec!F25*s_SSLcm_m,".")</f>
        <v>2.9304872255303612E-17</v>
      </c>
      <c r="L26" s="62">
        <f t="shared" ref="L26:L27" si="49">IF(E26&lt;&gt;".",E26*2.22*100,".")</f>
        <v>2.1316125952416127E-3</v>
      </c>
    </row>
    <row r="27" spans="1:12">
      <c r="A27" s="83" t="s">
        <v>31</v>
      </c>
      <c r="B27" s="85" t="s">
        <v>44</v>
      </c>
      <c r="C27" s="2">
        <f>IFERROR((s_DL)/(k_decay*Doses!E25*s_IFDres_adj*s_Fin*s_Fi),".")</f>
        <v>9.6018666636573249E-6</v>
      </c>
      <c r="D27" s="3">
        <f>IFERROR((s_DL)/(k_decay*Doses!L25*s_Fin*s_Fi*s_Fam*s_Foff*s_ETres*(1/24)*s_EFres*(1/365)*Isospec!R26),".")</f>
        <v>11.345030657879308</v>
      </c>
      <c r="E27" s="3">
        <f t="shared" si="45"/>
        <v>9.6018585371243802E-6</v>
      </c>
      <c r="F27" s="2">
        <f t="shared" ref="F27" si="50">IFERROR(C27/s_1_bq,".")</f>
        <v>3.552690665553214E-7</v>
      </c>
      <c r="G27" s="3">
        <f t="shared" ref="G27" si="51">IFERROR(D27/s_1_bq,".")</f>
        <v>0.41976613434153481</v>
      </c>
      <c r="H27" s="5">
        <f t="shared" ref="H27" si="52">IFERROR(E27/s_1_bq,".")</f>
        <v>3.5526876587360241E-7</v>
      </c>
      <c r="I27" s="2">
        <f>IFERROR(C27*Isospec!C26*Isospec!F26*s_SSLcm_m,".")</f>
        <v>2.9842601590646965E-17</v>
      </c>
      <c r="J27" s="3">
        <f>IFERROR(D27*Isospec!C26*Isospec!F26*s_SSLcm_m,".")</f>
        <v>3.5260355284688885E-11</v>
      </c>
      <c r="K27" s="5">
        <f>IFERROR(E27*Isospec!C26*Isospec!F26*s_SSLcm_m,".")</f>
        <v>2.9842576333382573E-17</v>
      </c>
      <c r="L27" s="62">
        <f t="shared" si="49"/>
        <v>2.1316125952416127E-3</v>
      </c>
    </row>
    <row r="28" spans="1:12">
      <c r="A28" s="82" t="s">
        <v>35</v>
      </c>
      <c r="B28" s="12" t="s">
        <v>50</v>
      </c>
      <c r="C28" s="2">
        <f>IFERROR((s_DL)/(k_decay*Doses!E26*s_IFDres_adj*s_Fin*s_Fi),".")</f>
        <v>9.6018666636573249E-6</v>
      </c>
      <c r="D28" s="3">
        <f>IFERROR((s_DL)/(k_decay*Doses!L26*s_Fin*s_Fi*s_Fam*s_Foff*s_ETres*(1/24)*s_EFres*(1/365)*Isospec!R27),".")</f>
        <v>4.8935045197429119</v>
      </c>
      <c r="E28" s="3">
        <f t="shared" ref="E28:E31" si="53">IFERROR(IF(AND(ISNUMBER(C28),ISNUMBER(D28)),(1/((1/C28)+(1/D28))),IF(AND(ISNUMBER(C28),NOT(ISNUMBER(D28))),(1/(1/C28)),IF(AND(NOT(ISNUMBER(C28)),ISNUMBER(D28)),(1/(1/D28)),"."))),".")</f>
        <v>9.6018478232409814E-6</v>
      </c>
      <c r="F28" s="2">
        <f t="shared" ref="F28:F31" si="54">IFERROR(C28/s_1_bq,".")</f>
        <v>3.552690665553214E-7</v>
      </c>
      <c r="G28" s="3">
        <f t="shared" ref="G28:G31" si="55">IFERROR(D28/s_1_bq,".")</f>
        <v>0.18105966723048791</v>
      </c>
      <c r="H28" s="5">
        <f t="shared" ref="H28:H31" si="56">IFERROR(E28/s_1_bq,".")</f>
        <v>3.5526836945991665E-7</v>
      </c>
      <c r="I28" s="2">
        <f>IFERROR(C28*Isospec!C27*Isospec!F27*s_SSLcm_m,".")</f>
        <v>3.0783584523685378E-17</v>
      </c>
      <c r="J28" s="3">
        <f>IFERROR(D28*Isospec!C27*Isospec!F27*s_SSLcm_m,".")</f>
        <v>1.5688575490295777E-11</v>
      </c>
      <c r="K28" s="5">
        <f>IFERROR(E28*Isospec!C27*Isospec!F27*s_SSLcm_m,".")</f>
        <v>3.078352412131059E-17</v>
      </c>
      <c r="L28" s="62">
        <f t="shared" ref="L28:L31" si="57">IF(E28&lt;&gt;".",E28*2.22*100,".")</f>
        <v>2.1316102167594983E-3</v>
      </c>
    </row>
    <row r="29" spans="1:12">
      <c r="A29" s="82" t="s">
        <v>40</v>
      </c>
      <c r="B29" s="85" t="s">
        <v>50</v>
      </c>
      <c r="C29" s="2">
        <f>IFERROR((s_DL)/(k_decay*Doses!E27*s_IFDres_adj*s_Fin*s_Fi),".")</f>
        <v>9.6018666636573249E-6</v>
      </c>
      <c r="D29" s="3">
        <f>IFERROR((s_DL)/(k_decay*Doses!L27*s_Fin*s_Fi*s_Fam*s_Foff*s_ETres*(1/24)*s_EFres*(1/365)*Isospec!R28),".")</f>
        <v>6.3566377806710692</v>
      </c>
      <c r="E29" s="3">
        <f t="shared" si="53"/>
        <v>9.6018521598099542E-6</v>
      </c>
      <c r="F29" s="2">
        <f t="shared" si="54"/>
        <v>3.552690665553214E-7</v>
      </c>
      <c r="G29" s="3">
        <f t="shared" si="55"/>
        <v>0.2351955978848298</v>
      </c>
      <c r="H29" s="5">
        <f t="shared" si="56"/>
        <v>3.5526852991296868E-7</v>
      </c>
      <c r="I29" s="2">
        <f>IFERROR(C29*Isospec!C28*Isospec!F28*s_SSLcm_m,".")</f>
        <v>2.7691783457987725E-17</v>
      </c>
      <c r="J29" s="3">
        <f>IFERROR(D29*Isospec!C28*Isospec!F28*s_SSLcm_m,".")</f>
        <v>1.8332543359455362E-11</v>
      </c>
      <c r="K29" s="5">
        <f>IFERROR(E29*Isospec!C28*Isospec!F28*s_SSLcm_m,".")</f>
        <v>2.7691741628891912E-17</v>
      </c>
      <c r="L29" s="62">
        <f t="shared" si="57"/>
        <v>2.1316111794778101E-3</v>
      </c>
    </row>
    <row r="30" spans="1:12">
      <c r="A30" s="82" t="s">
        <v>41</v>
      </c>
      <c r="B30" s="12" t="s">
        <v>50</v>
      </c>
      <c r="C30" s="2">
        <f>IFERROR((s_DL)/(k_decay*Doses!E28*s_IFDres_adj*s_Fin*s_Fi),".")</f>
        <v>9.6018666636573249E-6</v>
      </c>
      <c r="D30" s="3">
        <f>IFERROR((s_DL)/(k_decay*Doses!L28*s_Fin*s_Fi*s_Fam*s_Foff*s_ETres*(1/24)*s_EFres*(1/365)*Isospec!R29),".")</f>
        <v>11.605237783060026</v>
      </c>
      <c r="E30" s="3">
        <f t="shared" si="53"/>
        <v>9.6018587193334881E-6</v>
      </c>
      <c r="F30" s="2">
        <f t="shared" si="54"/>
        <v>3.552690665553214E-7</v>
      </c>
      <c r="G30" s="3">
        <f t="shared" si="55"/>
        <v>0.42939379797322141</v>
      </c>
      <c r="H30" s="5">
        <f t="shared" si="56"/>
        <v>3.5526877261533944E-7</v>
      </c>
      <c r="I30" s="2">
        <f>IFERROR(C30*Isospec!C29*Isospec!F29*s_SSLcm_m,".")</f>
        <v>2.809506185786133E-17</v>
      </c>
      <c r="J30" s="3">
        <f>IFERROR(D30*Isospec!C29*Isospec!F29*s_SSLcm_m,".")</f>
        <v>3.3956925753233639E-11</v>
      </c>
      <c r="K30" s="5">
        <f>IFERROR(E30*Isospec!C29*Isospec!F29*s_SSLcm_m,".")</f>
        <v>2.8095038612769784E-17</v>
      </c>
      <c r="L30" s="62">
        <f t="shared" si="57"/>
        <v>2.1316126356920348E-3</v>
      </c>
    </row>
    <row r="31" spans="1:12">
      <c r="A31" s="82" t="s">
        <v>42</v>
      </c>
      <c r="B31" s="85" t="s">
        <v>50</v>
      </c>
      <c r="C31" s="2">
        <f>IFERROR((s_DL)/(k_decay*Doses!E29*s_IFDres_adj*s_Fin*s_Fi),".")</f>
        <v>9.6018666636573249E-6</v>
      </c>
      <c r="D31" s="3">
        <f>IFERROR((s_DL)/(k_decay*Doses!L29*s_Fin*s_Fi*s_Fam*s_Foff*s_ETres*(1/24)*s_EFres*(1/365)*Isospec!R30),".")</f>
        <v>11.499735621395844</v>
      </c>
      <c r="E31" s="3">
        <f t="shared" si="53"/>
        <v>9.6018586464498436E-6</v>
      </c>
      <c r="F31" s="2">
        <f t="shared" si="54"/>
        <v>3.552690665553214E-7</v>
      </c>
      <c r="G31" s="3">
        <f t="shared" si="55"/>
        <v>0.42549021799164666</v>
      </c>
      <c r="H31" s="5">
        <f t="shared" si="56"/>
        <v>3.5526876991864457E-7</v>
      </c>
      <c r="I31" s="2">
        <f>IFERROR(C31*Isospec!C30*Isospec!F30*s_SSLcm_m,".")</f>
        <v>2.8229487991152532E-17</v>
      </c>
      <c r="J31" s="3">
        <f>IFERROR(D31*Isospec!C30*Isospec!F30*s_SSLcm_m,".")</f>
        <v>3.3809222726903782E-11</v>
      </c>
      <c r="K31" s="5">
        <f>IFERROR(E31*Isospec!C30*Isospec!F30*s_SSLcm_m,".")</f>
        <v>2.8229464420562544E-17</v>
      </c>
      <c r="L31" s="62">
        <f t="shared" si="57"/>
        <v>2.1316126195118656E-3</v>
      </c>
    </row>
    <row r="32" spans="1:12">
      <c r="A32" s="82" t="s">
        <v>25</v>
      </c>
      <c r="B32" s="12" t="s">
        <v>50</v>
      </c>
      <c r="C32" s="2">
        <f>IFERROR((s_DL)/(k_decay*Doses!E30*s_IFDres_adj*s_Fin*s_Fi),".")</f>
        <v>9.6018666636573249E-6</v>
      </c>
      <c r="D32" s="3">
        <f>IFERROR((s_DL)/(k_decay*Doses!L30*s_Fin*s_Fi*s_Fam*s_Foff*s_ETres*(1/24)*s_EFres*(1/365)*Isospec!R31),".")</f>
        <v>4.0479069387313373</v>
      </c>
      <c r="E32" s="3">
        <f t="shared" ref="E32" si="58">IFERROR(IF(AND(ISNUMBER(C32),ISNUMBER(D32)),(1/((1/C32)+(1/D32))),IF(AND(ISNUMBER(C32),NOT(ISNUMBER(D32))),(1/(1/C32)),IF(AND(NOT(ISNUMBER(C32)),ISNUMBER(D32)),(1/(1/D32)),"."))),".")</f>
        <v>9.6018438875347198E-6</v>
      </c>
      <c r="F32" s="2">
        <f t="shared" ref="F32" si="59">IFERROR(C32/s_1_bq,".")</f>
        <v>3.552690665553214E-7</v>
      </c>
      <c r="G32" s="3">
        <f t="shared" ref="G32" si="60">IFERROR(D32/s_1_bq,".")</f>
        <v>0.14977255673305964</v>
      </c>
      <c r="H32" s="5">
        <f t="shared" ref="H32" si="61">IFERROR(E32/s_1_bq,".")</f>
        <v>3.5526822383878501E-7</v>
      </c>
      <c r="I32" s="2">
        <f>IFERROR(C32*Isospec!C31*Isospec!F31*s_SSLcm_m,".")</f>
        <v>3.1321289056850195E-17</v>
      </c>
      <c r="J32" s="3">
        <f>IFERROR(D32*Isospec!C31*Isospec!F31*s_SSLcm_m,".")</f>
        <v>1.3204272434141623E-11</v>
      </c>
      <c r="K32" s="5">
        <f>IFERROR(E32*Isospec!C31*Isospec!F31*s_SSLcm_m,".")</f>
        <v>3.1321214761138255E-17</v>
      </c>
      <c r="L32" s="62">
        <f t="shared" ref="L32" si="62">IF(E32&lt;&gt;".",E32*2.22*100,".")</f>
        <v>2.1316093430327082E-3</v>
      </c>
    </row>
    <row r="33" spans="1:12">
      <c r="A33" s="30" t="s">
        <v>14</v>
      </c>
      <c r="B33" s="30" t="s">
        <v>50</v>
      </c>
      <c r="C33" s="71">
        <f t="shared" ref="C33:H33" si="63">IFERROR(1/SUM(1/C34,1/C35,1/C36,1/C37,1/C38,1/C39,1/C40,1/C41,1/C42,1/C43,1/C44,1/C45,1/C46),0)</f>
        <v>8.0017956069159769E-7</v>
      </c>
      <c r="D33" s="72">
        <f t="shared" si="63"/>
        <v>0.46008490021108833</v>
      </c>
      <c r="E33" s="73">
        <f t="shared" si="63"/>
        <v>8.0017816902189621E-7</v>
      </c>
      <c r="F33" s="71">
        <f t="shared" si="63"/>
        <v>2.9606643745589158E-8</v>
      </c>
      <c r="G33" s="72">
        <f t="shared" si="63"/>
        <v>1.7023141307810283E-2</v>
      </c>
      <c r="H33" s="73">
        <f t="shared" si="63"/>
        <v>2.9606592253810191E-8</v>
      </c>
      <c r="I33" s="20">
        <f>IFERROR(C33*Isospec!$C$4*Isospec!$F$4*s_SSLcm_m,".")</f>
        <v>2.699805837773451E-18</v>
      </c>
      <c r="J33" s="19">
        <f>IFERROR(D33*Isospec!$C$4*Isospec!$F$4*s_SSLcm_m,".")</f>
        <v>1.5523264533122122E-12</v>
      </c>
      <c r="K33" s="19">
        <f>IFERROR(E33*Isospec!$C$4*Isospec!$F$4*s_SSLcm_m,".")</f>
        <v>2.6998011422798781E-18</v>
      </c>
      <c r="L33" s="89">
        <f>IF(E33&lt;&gt;".",E33*2.22*100,".")</f>
        <v>1.7763955352286098E-4</v>
      </c>
    </row>
    <row r="34" spans="1:12">
      <c r="A34" s="31" t="s">
        <v>137</v>
      </c>
      <c r="B34" s="32">
        <v>1</v>
      </c>
      <c r="C34" s="65">
        <f>IFERROR(VLOOKUP("Am-241",$A$4:$L$32,3)/$B34,0)</f>
        <v>9.6018666636573249E-6</v>
      </c>
      <c r="D34" s="66">
        <f>IFERROR(VLOOKUP("Am-241",$A$4:$L$32,4)/$B34,0)</f>
        <v>4.9998850527808019</v>
      </c>
      <c r="E34" s="67">
        <f>IFERROR(IF(AND(C34&lt;&gt;0,D34&lt;&gt;0),(1/((1/C34)+(1/D34))),IF(AND(C34&lt;&gt;0,D34=0),(1/(1/C34)),IF(AND(C34=0,D34&lt;&gt;0),(1/(1/D34)),0))),0)</f>
        <v>9.6018482241001351E-6</v>
      </c>
      <c r="F34" s="65">
        <f>IFERROR(VLOOKUP("Am-241",$A$4:$L$32,6)/$B34,0)</f>
        <v>3.552690665553214E-7</v>
      </c>
      <c r="G34" s="66">
        <f>IFERROR(VLOOKUP("Am-241",$A$4:$L$32,7)/$B34,0)</f>
        <v>0.18499574695288987</v>
      </c>
      <c r="H34" s="67">
        <f>IFERROR(IF(AND(F34&lt;&gt;0,G34&lt;&gt;0),(1/((1/F34)+(1/G34))),IF(AND(F34&lt;&gt;0,G34=0),(1/(1/F34)),IF(AND(F34=0,G34&lt;&gt;0),(1/(1/G34)),0))),0)</f>
        <v>3.5526838429170538E-7</v>
      </c>
      <c r="I34" s="65">
        <f>IFERROR(VLOOKUP("Am-241",$A$4:$L$32,9)/$B34,0)</f>
        <v>3.2396698123179811E-17</v>
      </c>
      <c r="J34" s="66">
        <f>IFERROR(VLOOKUP("Am-241",$A$4:$L$32,10)/$B34,0)</f>
        <v>1.6869612168082426E-11</v>
      </c>
      <c r="K34" s="66">
        <f>IFERROR(VLOOKUP("Am-241",$A$4:$L$32,11)/$B34,0)</f>
        <v>3.2396635908113861E-17</v>
      </c>
      <c r="L34" s="90">
        <f t="shared" ref="L34:L67" si="64">IF(E34&lt;&gt;".",E34*2.22*100,".")</f>
        <v>2.1316103057502302E-3</v>
      </c>
    </row>
    <row r="35" spans="1:12">
      <c r="A35" s="31" t="s">
        <v>138</v>
      </c>
      <c r="B35" s="32">
        <v>1</v>
      </c>
      <c r="C35" s="65">
        <f>IFERROR(VLOOKUP("Np-237",$A$4:$L$32,3)/$B35,0)</f>
        <v>9.6018666636573249E-6</v>
      </c>
      <c r="D35" s="66">
        <f>IFERROR(VLOOKUP("Np-237",$A$4:$L$32,4)/$B35,0)</f>
        <v>4.6764174430814887</v>
      </c>
      <c r="E35" s="67">
        <f t="shared" ref="E35:E46" si="65">IFERROR(IF(AND(C35&lt;&gt;0,D35&lt;&gt;0),(1/((1/C35)+(1/D35))),IF(AND(C35&lt;&gt;0,D35=0),(1/(1/C35)),IF(AND(C35=0,D35&lt;&gt;0),(1/(1/D35)),0))),0)</f>
        <v>9.6018469486393106E-6</v>
      </c>
      <c r="F35" s="65">
        <f>IFERROR(VLOOKUP("Np-237",$A$4:$L$32,6)/$B35,0)</f>
        <v>3.552690665553214E-7</v>
      </c>
      <c r="G35" s="66">
        <f>IFERROR(VLOOKUP("Np-237",$A$4:$L$32,7)/$B35,0)</f>
        <v>0.17302744539401527</v>
      </c>
      <c r="H35" s="67">
        <f t="shared" ref="H35" si="66">IFERROR(IF(AND(F35&lt;&gt;0,G35&lt;&gt;0),(1/((1/F35)+(1/G35))),IF(AND(F35&lt;&gt;0,G35=0),(1/(1/F35)),IF(AND(F35=0,G35&lt;&gt;0),(1/(1/G35)),0))),0)</f>
        <v>3.5526833709965494E-7</v>
      </c>
      <c r="I35" s="65">
        <f>IFERROR(VLOOKUP("Np-237",$A$4:$L$32,9)/$B35,0)</f>
        <v>3.1858993590015006E-17</v>
      </c>
      <c r="J35" s="66">
        <f>IFERROR(VLOOKUP("Np-237",$A$4:$L$32,10)/$B35,0)</f>
        <v>1.5516353076144379E-11</v>
      </c>
      <c r="K35" s="66">
        <f>IFERROR(VLOOKUP("Np-237",$A$4:$L$32,11)/$B35,0)</f>
        <v>3.1858928175585234E-17</v>
      </c>
      <c r="L35" s="90">
        <f t="shared" si="64"/>
        <v>2.1316100225979269E-3</v>
      </c>
    </row>
    <row r="36" spans="1:12">
      <c r="A36" s="31" t="s">
        <v>139</v>
      </c>
      <c r="B36" s="32">
        <v>1</v>
      </c>
      <c r="C36" s="65">
        <f>IFERROR(VLOOKUP("Pa-233",$A$4:$L$32,3)/$B36,0)</f>
        <v>9.6018666636573249E-6</v>
      </c>
      <c r="D36" s="66">
        <f>IFERROR(VLOOKUP("Pa-233",$A$4:$L$32,4)/$B36,0)</f>
        <v>6.9887896041632205</v>
      </c>
      <c r="E36" s="67">
        <f>IFERROR(IF(AND(C36&lt;&gt;0,D36&lt;&gt;0),(1/((1/C36)+(1/D36))),IF(AND(C36&lt;&gt;0,D36=0),(1/(1/C36)),IF(AND(C36=0,D36&lt;&gt;0),(1/(1/D36)),0))),0)</f>
        <v>9.6018534717139444E-6</v>
      </c>
      <c r="F36" s="65">
        <f>IFERROR(VLOOKUP("Pa-233",$A$4:$L$32,6)/$B36,0)</f>
        <v>3.552690665553214E-7</v>
      </c>
      <c r="G36" s="66">
        <f>IFERROR(VLOOKUP("Pa-233",$A$4:$L$32,7)/$B36,0)</f>
        <v>0.25858521535403944</v>
      </c>
      <c r="H36" s="67">
        <f>IFERROR(IF(AND(F36&lt;&gt;0,G36&lt;&gt;0),(1/((1/F36)+(1/G36))),IF(AND(F36&lt;&gt;0,G36=0),(1/(1/F36)),IF(AND(F36=0,G36&lt;&gt;0),(1/(1/G36)),0))),0)</f>
        <v>3.5526857845341627E-7</v>
      </c>
      <c r="I36" s="65">
        <f>IFERROR(VLOOKUP("Pa-233",$A$4:$L$32,9)/$B36,0)</f>
        <v>3.1321289056850195E-17</v>
      </c>
      <c r="J36" s="66">
        <f>IFERROR(VLOOKUP("Pa-233",$A$4:$L$32,10)/$B36,0)</f>
        <v>2.2797431688780428E-11</v>
      </c>
      <c r="K36" s="66">
        <f>IFERROR(VLOOKUP("Pa-233",$A$4:$L$32,11)/$B36,0)</f>
        <v>3.132124602473089E-17</v>
      </c>
      <c r="L36" s="90">
        <f t="shared" si="64"/>
        <v>2.1316114707204958E-3</v>
      </c>
    </row>
    <row r="37" spans="1:12">
      <c r="A37" s="31" t="s">
        <v>140</v>
      </c>
      <c r="B37" s="32">
        <v>1</v>
      </c>
      <c r="C37" s="65">
        <f>IFERROR(VLOOKUP("U-233",$A$4:$L$32,3)/$B37,0)</f>
        <v>9.6018666636573249E-6</v>
      </c>
      <c r="D37" s="66">
        <f>IFERROR(VLOOKUP("U-233",$A$4:$L$32,4)/$B37,0)</f>
        <v>4.0479069387313373</v>
      </c>
      <c r="E37" s="67">
        <f t="shared" si="65"/>
        <v>9.6018438875347198E-6</v>
      </c>
      <c r="F37" s="65">
        <f>IFERROR(VLOOKUP("U-233",$A$4:$L$32,6)/$B37,0)</f>
        <v>3.552690665553214E-7</v>
      </c>
      <c r="G37" s="66">
        <f>IFERROR(VLOOKUP("U-233",$A$4:$L$32,7)/$B37,0)</f>
        <v>0.14977255673305964</v>
      </c>
      <c r="H37" s="67">
        <f t="shared" ref="H37:H46" si="67">IFERROR(IF(AND(F37&lt;&gt;0,G37&lt;&gt;0),(1/((1/F37)+(1/G37))),IF(AND(F37&lt;&gt;0,G37=0),(1/(1/F37)),IF(AND(F37=0,G37&lt;&gt;0),(1/(1/G37)),0))),0)</f>
        <v>3.5526822383878495E-7</v>
      </c>
      <c r="I37" s="65">
        <f>IFERROR(VLOOKUP("U-233",$A$4:$L$32,9)/$B37,0)</f>
        <v>3.1321289056850195E-17</v>
      </c>
      <c r="J37" s="66">
        <f>IFERROR(VLOOKUP("U-233",$A$4:$L$32,10)/$B37,0)</f>
        <v>1.3204272434141623E-11</v>
      </c>
      <c r="K37" s="67">
        <f>IFERROR(VLOOKUP("U-233",$A$4:$L$32,11)/$B37,0)</f>
        <v>3.1321214761138255E-17</v>
      </c>
      <c r="L37" s="64">
        <f t="shared" si="64"/>
        <v>2.1316093430327082E-3</v>
      </c>
    </row>
    <row r="38" spans="1:12">
      <c r="A38" s="31" t="s">
        <v>141</v>
      </c>
      <c r="B38" s="32">
        <v>1</v>
      </c>
      <c r="C38" s="65">
        <f>IFERROR(VLOOKUP("Th-229",$A$4:$L$32,3)/$B38,0)</f>
        <v>9.6018666636573249E-6</v>
      </c>
      <c r="D38" s="66">
        <f>IFERROR(VLOOKUP("Th-229",$A$4:$L$32,4)/$B38,0)</f>
        <v>4.8935045197429119</v>
      </c>
      <c r="E38" s="67">
        <f t="shared" si="65"/>
        <v>9.6018478232409814E-6</v>
      </c>
      <c r="F38" s="65">
        <f>IFERROR(VLOOKUP("Th-229",$A$4:$L$32,6)/$B38,0)</f>
        <v>3.552690665553214E-7</v>
      </c>
      <c r="G38" s="66">
        <f>IFERROR(VLOOKUP("Th-229",$A$4:$L$32,7)/$B38,0)</f>
        <v>0.18105966723048791</v>
      </c>
      <c r="H38" s="67">
        <f t="shared" si="67"/>
        <v>3.5526836945991675E-7</v>
      </c>
      <c r="I38" s="65">
        <f>IFERROR(VLOOKUP("Th-229",$A$4:$L$32,9)/$B38,0)</f>
        <v>3.0783584523685378E-17</v>
      </c>
      <c r="J38" s="66">
        <f>IFERROR(VLOOKUP("Th-229",$A$4:$L$32,10)/$B38,0)</f>
        <v>1.5688575490295777E-11</v>
      </c>
      <c r="K38" s="67">
        <f>IFERROR(VLOOKUP("Th-229",$A$4:$L$32,11)/$B38,0)</f>
        <v>3.078352412131059E-17</v>
      </c>
      <c r="L38" s="64">
        <f t="shared" si="64"/>
        <v>2.1316102167594983E-3</v>
      </c>
    </row>
    <row r="39" spans="1:12">
      <c r="A39" s="31" t="s">
        <v>142</v>
      </c>
      <c r="B39" s="32">
        <v>1</v>
      </c>
      <c r="C39" s="65">
        <f>IFERROR(VLOOKUP("Ra-225",$A$4:$L$32,3)/$B39,0)</f>
        <v>9.6018666636573249E-6</v>
      </c>
      <c r="D39" s="66">
        <f>IFERROR(VLOOKUP("Ra-225",$A$4:$L$32,4)/$B39,0)</f>
        <v>5.3487142425096952</v>
      </c>
      <c r="E39" s="67">
        <f t="shared" si="65"/>
        <v>9.6018494266777929E-6</v>
      </c>
      <c r="F39" s="65">
        <f>IFERROR(VLOOKUP("Ra-225",$A$4:$L$32,6)/$B39,0)</f>
        <v>3.552690665553214E-7</v>
      </c>
      <c r="G39" s="66">
        <f>IFERROR(VLOOKUP("Ra-225",$A$4:$L$32,7)/$B39,0)</f>
        <v>0.19790242697285892</v>
      </c>
      <c r="H39" s="67">
        <f t="shared" si="67"/>
        <v>3.5526842878707873E-7</v>
      </c>
      <c r="I39" s="65">
        <f>IFERROR(VLOOKUP("Ra-225",$A$4:$L$32,9)/$B39,0)</f>
        <v>3.0245879990520574E-17</v>
      </c>
      <c r="J39" s="66">
        <f>IFERROR(VLOOKUP("Ra-225",$A$4:$L$32,10)/$B39,0)</f>
        <v>1.684844986390554E-11</v>
      </c>
      <c r="K39" s="67">
        <f>IFERROR(VLOOKUP("Ra-225",$A$4:$L$32,11)/$B39,0)</f>
        <v>3.0245825694035046E-17</v>
      </c>
      <c r="L39" s="64">
        <f t="shared" si="64"/>
        <v>2.1316105727224701E-3</v>
      </c>
    </row>
    <row r="40" spans="1:12">
      <c r="A40" s="31" t="s">
        <v>143</v>
      </c>
      <c r="B40" s="32">
        <v>1</v>
      </c>
      <c r="C40" s="65">
        <f>IFERROR(VLOOKUP("Ac-225",$A$4:$L$32,3)/$B40,0)</f>
        <v>9.6018666636573249E-6</v>
      </c>
      <c r="D40" s="66">
        <f>IFERROR(VLOOKUP("Ac-225",$A$4:$L$32,4)/$B40,0)</f>
        <v>4.5584537598325863</v>
      </c>
      <c r="E40" s="67">
        <f t="shared" si="65"/>
        <v>9.601846438455078E-6</v>
      </c>
      <c r="F40" s="65">
        <f>IFERROR(VLOOKUP("Ac-225",$A$4:$L$32,6)/$B40,0)</f>
        <v>3.552690665553214E-7</v>
      </c>
      <c r="G40" s="66">
        <f>IFERROR(VLOOKUP("Ac-225",$A$4:$L$32,7)/$B40,0)</f>
        <v>0.16866278911380586</v>
      </c>
      <c r="H40" s="67">
        <f t="shared" si="67"/>
        <v>3.5526831822283824E-7</v>
      </c>
      <c r="I40" s="65">
        <f>IFERROR(VLOOKUP("Ac-225",$A$4:$L$32,9)/$B40,0)</f>
        <v>3.0245879990520574E-17</v>
      </c>
      <c r="J40" s="66">
        <f>IFERROR(VLOOKUP("Ac-225",$A$4:$L$32,10)/$B40,0)</f>
        <v>1.4359129343472649E-11</v>
      </c>
      <c r="K40" s="67">
        <f>IFERROR(VLOOKUP("Ac-225",$A$4:$L$32,11)/$B40,0)</f>
        <v>3.0245816281133499E-17</v>
      </c>
      <c r="L40" s="64">
        <f t="shared" si="64"/>
        <v>2.1316099093370276E-3</v>
      </c>
    </row>
    <row r="41" spans="1:12">
      <c r="A41" s="31" t="s">
        <v>144</v>
      </c>
      <c r="B41" s="32">
        <v>1</v>
      </c>
      <c r="C41" s="65">
        <f>IFERROR(VLOOKUP("Fr-221",$A$4:$L$32,3)/$B41,0)</f>
        <v>9.6018666636573249E-6</v>
      </c>
      <c r="D41" s="66">
        <f>IFERROR(VLOOKUP("Fr-221",$A$4:$L$32,4)/$B41,0)</f>
        <v>8.6641843722845397</v>
      </c>
      <c r="E41" s="67">
        <f t="shared" si="65"/>
        <v>9.6018560226393949E-6</v>
      </c>
      <c r="F41" s="65">
        <f>IFERROR(VLOOKUP("Fr-221",$A$4:$L$32,6)/$B41,0)</f>
        <v>3.552690665553214E-7</v>
      </c>
      <c r="G41" s="66">
        <f>IFERROR(VLOOKUP("Fr-221",$A$4:$L$32,7)/$B41,0)</f>
        <v>0.32057482177452828</v>
      </c>
      <c r="H41" s="67">
        <f t="shared" si="67"/>
        <v>3.5526867283765802E-7</v>
      </c>
      <c r="I41" s="65">
        <f>IFERROR(VLOOKUP("Fr-221",$A$4:$L$32,9)/$B41,0)</f>
        <v>2.9708175457355763E-17</v>
      </c>
      <c r="J41" s="66">
        <f>IFERROR(VLOOKUP("Fr-221",$A$4:$L$32,10)/$B41,0)</f>
        <v>2.6806986447848367E-11</v>
      </c>
      <c r="K41" s="67">
        <f>IFERROR(VLOOKUP("Fr-221",$A$4:$L$32,11)/$B41,0)</f>
        <v>2.9708142534046289E-17</v>
      </c>
      <c r="L41" s="64">
        <f t="shared" si="64"/>
        <v>2.1316120370259459E-3</v>
      </c>
    </row>
    <row r="42" spans="1:12">
      <c r="A42" s="31" t="s">
        <v>145</v>
      </c>
      <c r="B42" s="32">
        <v>1</v>
      </c>
      <c r="C42" s="65">
        <f>IFERROR(VLOOKUP("At-217",$A$4:$L$32,3)/$B42,0)</f>
        <v>9.6018666636573249E-6</v>
      </c>
      <c r="D42" s="66">
        <f>IFERROR(VLOOKUP("At-217",$A$4:$L$32,4)/$B42,0)</f>
        <v>9.1664559300981345</v>
      </c>
      <c r="E42" s="67">
        <f t="shared" si="65"/>
        <v>9.6018566057082597E-6</v>
      </c>
      <c r="F42" s="65">
        <f>IFERROR(VLOOKUP("At-217",$A$4:$L$32,6)/$B42,0)</f>
        <v>3.552690665553214E-7</v>
      </c>
      <c r="G42" s="66">
        <f>IFERROR(VLOOKUP("At-217",$A$4:$L$32,7)/$B42,0)</f>
        <v>0.33915886941363133</v>
      </c>
      <c r="H42" s="67">
        <f t="shared" si="67"/>
        <v>3.5526869441120597E-7</v>
      </c>
      <c r="I42" s="65">
        <f>IFERROR(VLOOKUP("At-217",$A$4:$L$32,9)/$B42,0)</f>
        <v>2.9170470924190958E-17</v>
      </c>
      <c r="J42" s="66">
        <f>IFERROR(VLOOKUP("At-217",$A$4:$L$32,10)/$B42,0)</f>
        <v>2.7847693115638136E-11</v>
      </c>
      <c r="K42" s="67">
        <f>IFERROR(VLOOKUP("At-217",$A$4:$L$32,11)/$B42,0)</f>
        <v>2.9170440368141696E-17</v>
      </c>
      <c r="L42" s="64">
        <f t="shared" si="64"/>
        <v>2.1316121664672338E-3</v>
      </c>
    </row>
    <row r="43" spans="1:12">
      <c r="A43" s="31" t="s">
        <v>146</v>
      </c>
      <c r="B43" s="33">
        <v>0.99987999999999999</v>
      </c>
      <c r="C43" s="65">
        <f>IFERROR(VLOOKUP("Bi-213",$A$4:$L$32,3)/$B43,0)</f>
        <v>9.6030190259404379E-6</v>
      </c>
      <c r="D43" s="66">
        <f>IFERROR(VLOOKUP("Bi-213",$A$4:$L$32,4)/$B43,0)</f>
        <v>10.767001983672449</v>
      </c>
      <c r="E43" s="67">
        <f t="shared" si="65"/>
        <v>9.6030104610778804E-6</v>
      </c>
      <c r="F43" s="65">
        <f>IFERROR(VLOOKUP("Bi-213",$A$4:$L$32,6)/$B43,0)</f>
        <v>3.553117039597966E-7</v>
      </c>
      <c r="G43" s="66">
        <f>IFERROR(VLOOKUP("Bi-213",$A$4:$L$32,7)/$B43,0)</f>
        <v>0.39837907339588097</v>
      </c>
      <c r="H43" s="67">
        <f t="shared" si="67"/>
        <v>3.5531138705988192E-7</v>
      </c>
      <c r="I43" s="65">
        <f>IFERROR(VLOOKUP("Bi-213",$A$4:$L$32,9)/$B43,0)</f>
        <v>2.8636202735354384E-17</v>
      </c>
      <c r="J43" s="66">
        <f>IFERROR(VLOOKUP("Bi-213",$A$4:$L$32,10)/$B43,0)</f>
        <v>3.2107199915311244E-11</v>
      </c>
      <c r="K43" s="67">
        <f>IFERROR(VLOOKUP("Bi-213",$A$4:$L$32,11)/$B43,0)</f>
        <v>2.8636177194934231E-17</v>
      </c>
      <c r="L43" s="64">
        <f t="shared" si="64"/>
        <v>2.1318683223592897E-3</v>
      </c>
    </row>
    <row r="44" spans="1:12">
      <c r="A44" s="31" t="s">
        <v>147</v>
      </c>
      <c r="B44" s="32">
        <v>0.97898250799999997</v>
      </c>
      <c r="C44" s="65">
        <f>IFERROR(VLOOKUP("Po-213",$A$4:$L$32,3)/$B44,0)</f>
        <v>9.8080063588401986E-6</v>
      </c>
      <c r="D44" s="66">
        <f>IFERROR(VLOOKUP("Po-213",$A$4:$L$32,4)/$B44,0)</f>
        <v>11.909015785507076</v>
      </c>
      <c r="E44" s="67">
        <f t="shared" si="65"/>
        <v>9.8079982811861558E-6</v>
      </c>
      <c r="F44" s="65">
        <f>IFERROR(VLOOKUP("Po-213",$A$4:$L$32,6)/$B44,0)</f>
        <v>3.6289623527708772E-7</v>
      </c>
      <c r="G44" s="66">
        <f>IFERROR(VLOOKUP("Po-213",$A$4:$L$32,7)/$B44,0)</f>
        <v>0.4406335840637623</v>
      </c>
      <c r="H44" s="67">
        <f t="shared" si="67"/>
        <v>3.6289593640388815E-7</v>
      </c>
      <c r="I44" s="65">
        <f>IFERROR(VLOOKUP("Po-213",$A$4:$L$32,9)/$B44,0)</f>
        <v>2.9247474962061466E-17</v>
      </c>
      <c r="J44" s="66">
        <f>IFERROR(VLOOKUP("Po-213",$A$4:$L$32,10)/$B44,0)</f>
        <v>3.5512685072382104E-11</v>
      </c>
      <c r="K44" s="67">
        <f>IFERROR(VLOOKUP("Po-213",$A$4:$L$32,11)/$B44,0)</f>
        <v>2.924745087449711E-17</v>
      </c>
      <c r="L44" s="64">
        <f t="shared" si="64"/>
        <v>2.1773756184233269E-3</v>
      </c>
    </row>
    <row r="45" spans="1:12">
      <c r="A45" s="31" t="s">
        <v>148</v>
      </c>
      <c r="B45" s="32">
        <v>2.0897492E-2</v>
      </c>
      <c r="C45" s="65">
        <f>IFERROR(VLOOKUP("Tl-209",$A$4:$L$32,3)/$B45,0)</f>
        <v>4.5947459454260468E-4</v>
      </c>
      <c r="D45" s="66">
        <f>IFERROR(VLOOKUP("Tl-209",$A$4:$L$32,4)/$B45,0)</f>
        <v>555.34117601576429</v>
      </c>
      <c r="E45" s="67">
        <f t="shared" si="65"/>
        <v>4.5947421438579755E-4</v>
      </c>
      <c r="F45" s="65">
        <f>IFERROR(VLOOKUP("Tl-209",$A$4:$L$32,6)/$B45,0)</f>
        <v>1.700055999807639E-5</v>
      </c>
      <c r="G45" s="66">
        <f>IFERROR(VLOOKUP("Tl-209",$A$4:$L$32,7)/$B45,0)</f>
        <v>20.5476235125833</v>
      </c>
      <c r="H45" s="67">
        <f t="shared" si="67"/>
        <v>1.7000545932274525E-5</v>
      </c>
      <c r="I45" s="65">
        <f>IFERROR(VLOOKUP("Tl-209",$A$4:$L$32,9)/$B45,0)</f>
        <v>1.3444226636316612E-15</v>
      </c>
      <c r="J45" s="66">
        <f>IFERROR(VLOOKUP("Tl-209",$A$4:$L$32,10)/$B45,0)</f>
        <v>1.6249282810221265E-9</v>
      </c>
      <c r="K45" s="67">
        <f>IFERROR(VLOOKUP("Tl-209",$A$4:$L$32,11)/$B45,0)</f>
        <v>1.3444215512928434E-15</v>
      </c>
      <c r="L45" s="64">
        <f t="shared" si="64"/>
        <v>0.10200327559364707</v>
      </c>
    </row>
    <row r="46" spans="1:12">
      <c r="A46" s="31" t="s">
        <v>149</v>
      </c>
      <c r="B46" s="32">
        <v>0.99987999999999999</v>
      </c>
      <c r="C46" s="65">
        <f>IFERROR(VLOOKUP("Pb-209",$A$4:$L$32,3)/$B46,0)</f>
        <v>9.6030190259404379E-6</v>
      </c>
      <c r="D46" s="66">
        <f>IFERROR(VLOOKUP("Pb-209",$A$4:$L$32,4)/$B46,0)</f>
        <v>2.8113838512922507</v>
      </c>
      <c r="E46" s="67">
        <f t="shared" si="65"/>
        <v>9.6029862244219344E-6</v>
      </c>
      <c r="F46" s="65">
        <f>IFERROR(VLOOKUP("Pb-209",$A$4:$L$32,6)/$B46,0)</f>
        <v>3.553117039597966E-7</v>
      </c>
      <c r="G46" s="66">
        <f>IFERROR(VLOOKUP("Pb-209",$A$4:$L$32,7)/$B46,0)</f>
        <v>0.10402120249781337</v>
      </c>
      <c r="H46" s="67">
        <f t="shared" si="67"/>
        <v>3.5531049030361192E-7</v>
      </c>
      <c r="I46" s="65">
        <f>IFERROR(VLOOKUP("Pb-209",$A$4:$L$32,9)/$B46,0)</f>
        <v>2.8098433669901715E-17</v>
      </c>
      <c r="J46" s="66">
        <f>IFERROR(VLOOKUP("Pb-209",$A$4:$L$32,10)/$B46,0)</f>
        <v>8.2261091488811266E-12</v>
      </c>
      <c r="K46" s="67">
        <f>IFERROR(VLOOKUP("Pb-209",$A$4:$L$32,11)/$B46,0)</f>
        <v>2.8098337692658587E-17</v>
      </c>
      <c r="L46" s="64">
        <f t="shared" si="64"/>
        <v>2.1318629418216697E-3</v>
      </c>
    </row>
    <row r="47" spans="1:12">
      <c r="A47" s="30" t="s">
        <v>17</v>
      </c>
      <c r="B47" s="30" t="s">
        <v>50</v>
      </c>
      <c r="C47" s="71">
        <f>IFERROR(1/SUM(1/C48,1/C49),0)</f>
        <v>4.9392572305707972E-6</v>
      </c>
      <c r="D47" s="72">
        <f>IFERROR(1/SUM(1/D48,1/D49),0)</f>
        <v>5.6660391478266767</v>
      </c>
      <c r="E47" s="73">
        <f>IFERROR(1/SUM(1/E48,1/E49),".")</f>
        <v>4.9392529248750394E-6</v>
      </c>
      <c r="F47" s="71">
        <f>IFERROR(1/SUM(1/F48,1/F49),0)</f>
        <v>1.8275251753111972E-7</v>
      </c>
      <c r="G47" s="72">
        <f>IFERROR(1/SUM(1/G48,1/G49),0)</f>
        <v>0.2096434484695873</v>
      </c>
      <c r="H47" s="73">
        <f>IFERROR(1/SUM(1/H48,1/H49),".")</f>
        <v>1.8275235822037666E-7</v>
      </c>
      <c r="I47" s="68">
        <f>IFERROR(C47*Isospec!$C$11*Isospec!$F$11*s_SSLcm_m,".")</f>
        <v>9.4734953682347892E-18</v>
      </c>
      <c r="J47" s="69">
        <f>IFERROR(D47*Isospec!$C$11*Isospec!$F$11*s_SSLcm_m,".")</f>
        <v>1.0867463085531565E-11</v>
      </c>
      <c r="K47" s="70">
        <f>IFERROR(E47*Isospec!$C$11*Isospec!$F$11*s_SSLcm_m,".")</f>
        <v>9.4734871099103258E-18</v>
      </c>
      <c r="L47" s="63">
        <f t="shared" si="64"/>
        <v>1.0965141493222588E-3</v>
      </c>
    </row>
    <row r="48" spans="1:12">
      <c r="A48" s="31" t="s">
        <v>150</v>
      </c>
      <c r="B48" s="32">
        <v>1</v>
      </c>
      <c r="C48" s="65">
        <f>IFERROR(VLOOKUP("Cs-137",$A$4:$L$32,3)/$B48,0)</f>
        <v>9.6018666636573249E-6</v>
      </c>
      <c r="D48" s="66">
        <f>IFERROR(VLOOKUP("Cs-137",$A$4:$L$32,4)/$B48,0)</f>
        <v>10.720092528419856</v>
      </c>
      <c r="E48" s="67">
        <f>IFERROR(IF(AND(C48&lt;&gt;0,D48&lt;&gt;0),(1/((1/C48)+(1/D48))),IF(AND(C48&lt;&gt;0,D48=0),(1/(1/C48)),IF(AND(C48=0,D48&lt;&gt;0),(1/(1/D48)),0))),0)</f>
        <v>9.6018580633807315E-6</v>
      </c>
      <c r="F48" s="65">
        <f>IFERROR(VLOOKUP("Cs-137",$A$4:$L$32,6)/$B48,0)</f>
        <v>3.552690665553214E-7</v>
      </c>
      <c r="G48" s="66">
        <f>IFERROR(VLOOKUP("Cs-137",$A$4:$L$32,7)/$B48,0)</f>
        <v>0.39664342355153509</v>
      </c>
      <c r="H48" s="67">
        <f>IFERROR(IF(AND(F48&lt;&gt;0,G48&lt;&gt;0),(1/((1/F48)+(1/G48))),IF(AND(F48&lt;&gt;0,G48=0),(1/(1/F48)),IF(AND(F48=0,G48&lt;&gt;0),(1/(1/G48)),0))),0)</f>
        <v>3.5526874834508746E-7</v>
      </c>
      <c r="I48" s="65">
        <f>IFERROR(VLOOKUP("Cs-137",$A$4:$L$32,9)/$B48,0)</f>
        <v>1.8416380260894751E-17</v>
      </c>
      <c r="J48" s="66">
        <f>IFERROR(VLOOKUP("Cs-137",$A$4:$L$32,10)/$B48,0)</f>
        <v>2.0561137469509284E-11</v>
      </c>
      <c r="K48" s="67">
        <f>IFERROR(VLOOKUP("Cs-137",$A$4:$L$32,11)/$B48,0)</f>
        <v>1.8416363765564242E-17</v>
      </c>
      <c r="L48" s="64">
        <f t="shared" si="64"/>
        <v>2.1316124900705225E-3</v>
      </c>
    </row>
    <row r="49" spans="1:12">
      <c r="A49" s="31" t="s">
        <v>151</v>
      </c>
      <c r="B49" s="32">
        <v>0.94399</v>
      </c>
      <c r="C49" s="65">
        <f>IFERROR(VLOOKUP("Ba-137m",$A$4:$L$32,3)/$B49,0)</f>
        <v>1.0171576673118703E-5</v>
      </c>
      <c r="D49" s="66">
        <f>IFERROR(VLOOKUP("Ba-137m",$A$4:$L$32,4)/$B49,0)</f>
        <v>12.018168262247807</v>
      </c>
      <c r="E49" s="67">
        <f>IFERROR(IF(AND(C49&lt;&gt;0,D49&lt;&gt;0),(1/((1/C49)+(1/D49))),IF(AND(C49&lt;&gt;0,D49=0),(1/(1/C49)),IF(AND(C49=0,D49&lt;&gt;0),(1/(1/D49)),0))),0)</f>
        <v>1.0171568064412102E-5</v>
      </c>
      <c r="F49" s="65">
        <f>IFERROR(VLOOKUP("Ba-137m",$A$4:$L$32,6)/$B49,0)</f>
        <v>3.7634833690539241E-7</v>
      </c>
      <c r="G49" s="66">
        <f>IFERROR(VLOOKUP("Ba-137m",$A$4:$L$32,7)/$B49,0)</f>
        <v>0.44467222570316933</v>
      </c>
      <c r="H49" s="67">
        <f>IFERROR(IF(AND(F49&lt;&gt;0,G49&lt;&gt;0),(1/((1/F49)+(1/G49))),IF(AND(F49&lt;&gt;0,G49=0),(1/(1/F49)),IF(AND(F49=0,G49&lt;&gt;0),(1/(1/G49)),0))),0)</f>
        <v>3.7634801838324812E-7</v>
      </c>
      <c r="I49" s="65">
        <f>IFERROR(VLOOKUP("Ba-137m",$A$4:$L$32,9)/$B49,0)</f>
        <v>1.9509084059041674E-17</v>
      </c>
      <c r="J49" s="66">
        <f>IFERROR(VLOOKUP("Ba-137m",$A$4:$L$32,10)/$B49,0)</f>
        <v>2.3050846726991296E-11</v>
      </c>
      <c r="K49" s="67">
        <f>IFERROR(VLOOKUP("Ba-137m",$A$4:$L$32,11)/$B49,0)</f>
        <v>1.950906754754241E-17</v>
      </c>
      <c r="L49" s="64">
        <f t="shared" si="64"/>
        <v>2.2580881102994871E-3</v>
      </c>
    </row>
    <row r="50" spans="1:12">
      <c r="A50" s="30" t="s">
        <v>27</v>
      </c>
      <c r="B50" s="30" t="s">
        <v>50</v>
      </c>
      <c r="C50" s="71">
        <f t="shared" ref="C50:H50" si="68">IFERROR(1/SUM(1/C51,1/C52,1/C53,1/C56,1/C54,1/C57,1/C55,1/C58,1/C59,1/C60,1/C61,1/C63,1/C62,1/C64),0)</f>
        <v>1.0668739127602834E-6</v>
      </c>
      <c r="D50" s="72">
        <f t="shared" si="68"/>
        <v>0.76569146768019614</v>
      </c>
      <c r="E50" s="73">
        <f t="shared" si="68"/>
        <v>1.0668724262367843E-6</v>
      </c>
      <c r="F50" s="71">
        <f t="shared" si="68"/>
        <v>3.9474334772130532E-8</v>
      </c>
      <c r="G50" s="72">
        <f t="shared" si="68"/>
        <v>2.8330584304167277E-2</v>
      </c>
      <c r="H50" s="73">
        <f t="shared" si="68"/>
        <v>3.9474279770761064E-8</v>
      </c>
      <c r="I50" s="68">
        <f>IFERROR(C50*Isospec!$C$24*Isospec!$F$24*s_SSLcm_m,".")</f>
        <v>3.3755890599735366E-18</v>
      </c>
      <c r="J50" s="69">
        <f>IFERROR(D50*Isospec!$C$24*Isospec!$F$24*s_SSLcm_m,".")</f>
        <v>2.4226478037401407E-12</v>
      </c>
      <c r="K50" s="70">
        <f>IFERROR(E50*Isospec!$C$24*Isospec!$F$24*s_SSLcm_m,".")</f>
        <v>3.3755843566131858E-18</v>
      </c>
      <c r="L50" s="63">
        <f t="shared" si="64"/>
        <v>2.3684567862456611E-4</v>
      </c>
    </row>
    <row r="51" spans="1:12">
      <c r="A51" s="31" t="s">
        <v>152</v>
      </c>
      <c r="B51" s="32">
        <v>1</v>
      </c>
      <c r="C51" s="65">
        <f>IFERROR(VLOOKUP("Ra-226",$A$4:$L$32,3)/$B51,0)</f>
        <v>9.6018666636573249E-6</v>
      </c>
      <c r="D51" s="66">
        <f>IFERROR(VLOOKUP("Ra-226",$A$4:$L$32,4)/$B51,0)</f>
        <v>8.006145052870524</v>
      </c>
      <c r="E51" s="67">
        <f t="shared" ref="E51:E64" si="69">IFERROR(IF(AND(C51&lt;&gt;0,D51&lt;&gt;0),(1/((1/C51)+(1/D51))),IF(AND(C51&lt;&gt;0,D51=0),(1/(1/C51)),IF(AND(C51=0,D51&lt;&gt;0),(1/(1/D51)),0))),0)</f>
        <v>9.60185514803623E-6</v>
      </c>
      <c r="F51" s="65">
        <f>IFERROR(VLOOKUP("Ra-226",$A$4:$L$32,6)/$B51,0)</f>
        <v>3.552690665553214E-7</v>
      </c>
      <c r="G51" s="66">
        <f>IFERROR(VLOOKUP("Ra-226",$A$4:$L$32,7)/$B51,0)</f>
        <v>0.29622736695620971</v>
      </c>
      <c r="H51" s="67">
        <f t="shared" ref="H51:H64" si="70">IFERROR(IF(AND(F51&lt;&gt;0,G51&lt;&gt;0),(1/((1/F51)+(1/G51))),IF(AND(F51&lt;&gt;0,G51=0),(1/(1/F51)),IF(AND(F51=0,G51&lt;&gt;0),(1/(1/G51)),0))),0)</f>
        <v>3.5526864047734094E-7</v>
      </c>
      <c r="I51" s="65">
        <f>IFERROR(VLOOKUP("Ra-226",$A$4:$L$32,9)/$B51,0)</f>
        <v>3.0380306123811776E-17</v>
      </c>
      <c r="J51" s="66">
        <f>IFERROR(VLOOKUP("Ra-226",$A$4:$L$32,10)/$B51,0)</f>
        <v>2.5331442947282339E-11</v>
      </c>
      <c r="K51" s="67">
        <f>IFERROR(VLOOKUP("Ra-226",$A$4:$L$32,11)/$B51,0)</f>
        <v>3.0380269688386631E-17</v>
      </c>
      <c r="L51" s="64">
        <f t="shared" si="64"/>
        <v>2.1316118428640432E-3</v>
      </c>
    </row>
    <row r="52" spans="1:12">
      <c r="A52" s="31" t="s">
        <v>153</v>
      </c>
      <c r="B52" s="32">
        <v>1</v>
      </c>
      <c r="C52" s="65">
        <f>IFERROR(VLOOKUP("Rn-222",$A$4:$L$32,3)/$B52,0)</f>
        <v>9.6018666636573249E-6</v>
      </c>
      <c r="D52" s="66">
        <f>IFERROR(VLOOKUP("Rn-222",$A$4:$L$32,4)/$B52,0)</f>
        <v>11.345030657879308</v>
      </c>
      <c r="E52" s="67">
        <f t="shared" si="69"/>
        <v>9.6018585371243802E-6</v>
      </c>
      <c r="F52" s="65">
        <f>IFERROR(VLOOKUP("Rn-222",$A$4:$L$32,6)/$B52,0)</f>
        <v>3.552690665553214E-7</v>
      </c>
      <c r="G52" s="66">
        <f>IFERROR(VLOOKUP("Rn-222",$A$4:$L$32,7)/$B52,0)</f>
        <v>0.41976613434153481</v>
      </c>
      <c r="H52" s="67">
        <f t="shared" si="70"/>
        <v>3.5526876587360246E-7</v>
      </c>
      <c r="I52" s="65">
        <f>IFERROR(VLOOKUP("Rn-222",$A$4:$L$32,9)/$B52,0)</f>
        <v>2.9842601590646965E-17</v>
      </c>
      <c r="J52" s="66">
        <f>IFERROR(VLOOKUP("Rn-222",$A$4:$L$32,10)/$B52,0)</f>
        <v>3.5260355284688885E-11</v>
      </c>
      <c r="K52" s="67">
        <f>IFERROR(VLOOKUP("Rn-222",$A$4:$L$32,11)/$B52,0)</f>
        <v>2.9842576333382573E-17</v>
      </c>
      <c r="L52" s="64">
        <f t="shared" si="64"/>
        <v>2.1316125952416127E-3</v>
      </c>
    </row>
    <row r="53" spans="1:12">
      <c r="A53" s="31" t="s">
        <v>154</v>
      </c>
      <c r="B53" s="32">
        <v>1</v>
      </c>
      <c r="C53" s="65">
        <f>IFERROR(VLOOKUP("Po-218",$A$4:$L$32,3)/$B53,0)</f>
        <v>9.6018666636573249E-6</v>
      </c>
      <c r="D53" s="66">
        <f>IFERROR(VLOOKUP("Po-218",$A$4:$L$32,4)/$B53,0)</f>
        <v>2.8110464852300954</v>
      </c>
      <c r="E53" s="67">
        <f t="shared" si="69"/>
        <v>9.6018338660750039E-6</v>
      </c>
      <c r="F53" s="65">
        <f>IFERROR(VLOOKUP("Po-218",$A$4:$L$32,6)/$B53,0)</f>
        <v>3.552690665553214E-7</v>
      </c>
      <c r="G53" s="66">
        <f>IFERROR(VLOOKUP("Po-218",$A$4:$L$32,7)/$B53,0)</f>
        <v>0.10400871995351363</v>
      </c>
      <c r="H53" s="67">
        <f t="shared" si="70"/>
        <v>3.5526785304477551E-7</v>
      </c>
      <c r="I53" s="65">
        <f>IFERROR(VLOOKUP("Po-218",$A$4:$L$32,9)/$B53,0)</f>
        <v>2.9304897057482154E-17</v>
      </c>
      <c r="J53" s="66">
        <f>IFERROR(VLOOKUP("Po-218",$A$4:$L$32,10)/$B53,0)</f>
        <v>8.5793138729222515E-12</v>
      </c>
      <c r="K53" s="67">
        <f>IFERROR(VLOOKUP("Po-218",$A$4:$L$32,11)/$B53,0)</f>
        <v>2.9304796959260916E-17</v>
      </c>
      <c r="L53" s="64">
        <f t="shared" si="64"/>
        <v>2.1316071182686507E-3</v>
      </c>
    </row>
    <row r="54" spans="1:12">
      <c r="A54" s="31" t="s">
        <v>156</v>
      </c>
      <c r="B54" s="32">
        <v>2.0000000000000001E-4</v>
      </c>
      <c r="C54" s="65">
        <f>IFERROR(VLOOKUP("At-218",$A$4:$L$32,3)/$B54,0)</f>
        <v>4.8009333318286621E-2</v>
      </c>
      <c r="D54" s="66">
        <f>IFERROR(VLOOKUP("At-218",$A$4:$L$32,4)/$B54,0)</f>
        <v>14055.232426150476</v>
      </c>
      <c r="E54" s="67">
        <f>IFERROR(IF(AND(C54&lt;&gt;0,D54&lt;&gt;0),(1/((1/C54)+(1/D54))),IF(AND(C54&lt;&gt;0,D54=0),(1/(1/C54)),IF(AND(C54=0,D54&lt;&gt;0),(1/(1/D54)),0))),0)</f>
        <v>4.8009169330375009E-2</v>
      </c>
      <c r="F54" s="65">
        <f>IFERROR(VLOOKUP("At-218",$A$4:$L$32,6)/$B54,0)</f>
        <v>1.776345332776607E-3</v>
      </c>
      <c r="G54" s="66">
        <f>IFERROR(VLOOKUP("At-218",$A$4:$L$32,7)/$B54,0)</f>
        <v>520.04359976756814</v>
      </c>
      <c r="H54" s="67">
        <f>IFERROR(IF(AND(F54&lt;&gt;0,G54&lt;&gt;0),(1/((1/F54)+(1/G54))),IF(AND(F54&lt;&gt;0,G54=0),(1/(1/F54)),IF(AND(F54=0,G54&lt;&gt;0),(1/(1/G54)),0))),0)</f>
        <v>1.7763392652238776E-3</v>
      </c>
      <c r="I54" s="65">
        <f>IFERROR(VLOOKUP("At-218",$A$4:$L$32,9)/$B54,0)</f>
        <v>1.4652448528741076E-13</v>
      </c>
      <c r="J54" s="66">
        <f>IFERROR(VLOOKUP("At-218",$A$4:$L$32,10)/$B54,0)</f>
        <v>4.2896569364611257E-8</v>
      </c>
      <c r="K54" s="67">
        <f>IFERROR(VLOOKUP("At-218",$A$4:$L$32,11)/$B54,0)</f>
        <v>1.4652398479630458E-13</v>
      </c>
      <c r="L54" s="64">
        <f>IF(E54&lt;&gt;".",E54*2.22*100,".")</f>
        <v>10.658035591343253</v>
      </c>
    </row>
    <row r="55" spans="1:12">
      <c r="A55" s="31" t="s">
        <v>158</v>
      </c>
      <c r="B55" s="32">
        <v>1.9999999999999999E-7</v>
      </c>
      <c r="C55" s="65">
        <f>IFERROR(VLOOKUP("Rn-218",$A$4:$L$32,3)/$B55,0)</f>
        <v>48.009333318286629</v>
      </c>
      <c r="D55" s="66">
        <f>IFERROR(VLOOKUP("Rn-218",$A$4:$L$32,4)/$B55,0)</f>
        <v>56725153.289396539</v>
      </c>
      <c r="E55" s="67">
        <f>IFERROR(IF(AND(C55&lt;&gt;0,D55&lt;&gt;0),(1/((1/C55)+(1/D55))),IF(AND(C55&lt;&gt;0,D55=0),(1/(1/C55)),IF(AND(C55=0,D55&lt;&gt;0),(1/(1/D55)),0))),0)</f>
        <v>48.009292685621908</v>
      </c>
      <c r="F55" s="65">
        <f>IFERROR(VLOOKUP("Rn-218",$A$4:$L$32,6)/$B55,0)</f>
        <v>1.776345332776607</v>
      </c>
      <c r="G55" s="66">
        <f>IFERROR(VLOOKUP("Rn-218",$A$4:$L$32,7)/$B55,0)</f>
        <v>2098830.6717076739</v>
      </c>
      <c r="H55" s="67">
        <f>IFERROR(IF(AND(F55&lt;&gt;0,G55&lt;&gt;0),(1/((1/F55)+(1/G55))),IF(AND(F55&lt;&gt;0,G55=0),(1/(1/F55)),IF(AND(F55=0,G55&lt;&gt;0),(1/(1/G55)),0))),0)</f>
        <v>1.7763438293680125</v>
      </c>
      <c r="I55" s="65">
        <f>IFERROR(VLOOKUP("Rn-218",$A$4:$L$32,9)/$B55,0)</f>
        <v>1.4652448528741078E-10</v>
      </c>
      <c r="J55" s="66">
        <f>IFERROR(VLOOKUP("Rn-218",$A$4:$L$32,10)/$B55,0)</f>
        <v>1.7312516783923824E-4</v>
      </c>
      <c r="K55" s="67">
        <f>IFERROR(VLOOKUP("Rn-218",$A$4:$L$32,11)/$B55,0)</f>
        <v>1.4652436127651806E-10</v>
      </c>
      <c r="L55" s="64">
        <f>IF(E55&lt;&gt;".",E55*2.22*100,".")</f>
        <v>10658.062976208064</v>
      </c>
    </row>
    <row r="56" spans="1:12">
      <c r="A56" s="31" t="s">
        <v>155</v>
      </c>
      <c r="B56" s="32">
        <v>0.99980000000000002</v>
      </c>
      <c r="C56" s="65">
        <f>IFERROR(VLOOKUP("Pb-214",$A$4:$L$32,3)/$B56,0)</f>
        <v>9.603787421141553E-6</v>
      </c>
      <c r="D56" s="66">
        <f>IFERROR(VLOOKUP("Pb-214",$A$4:$L$32,4)/$B56,0)</f>
        <v>9.3031173760747947</v>
      </c>
      <c r="E56" s="67">
        <f t="shared" si="69"/>
        <v>9.6037775069768829E-6</v>
      </c>
      <c r="F56" s="65">
        <f>IFERROR(VLOOKUP("Pb-214",$A$4:$L$32,6)/$B56,0)</f>
        <v>3.5534013458223781E-7</v>
      </c>
      <c r="G56" s="66">
        <f>IFERROR(VLOOKUP("Pb-214",$A$4:$L$32,7)/$B56,0)</f>
        <v>0.34421534291476774</v>
      </c>
      <c r="H56" s="67">
        <f t="shared" si="70"/>
        <v>3.55339767758145E-7</v>
      </c>
      <c r="I56" s="65">
        <f>IFERROR(VLOOKUP("Pb-214",$A$4:$L$32,9)/$B56,0)</f>
        <v>2.8772947113740097E-17</v>
      </c>
      <c r="J56" s="66">
        <f>IFERROR(VLOOKUP("Pb-214",$A$4:$L$32,10)/$B56,0)</f>
        <v>2.7872139658720082E-11</v>
      </c>
      <c r="K56" s="67">
        <f>IFERROR(VLOOKUP("Pb-214",$A$4:$L$32,11)/$B56,0)</f>
        <v>2.8772917410902736E-17</v>
      </c>
      <c r="L56" s="64">
        <f t="shared" si="64"/>
        <v>2.1320386065488682E-3</v>
      </c>
    </row>
    <row r="57" spans="1:12">
      <c r="A57" s="31" t="s">
        <v>157</v>
      </c>
      <c r="B57" s="32">
        <v>0.99999979999999999</v>
      </c>
      <c r="C57" s="65">
        <f>IFERROR(VLOOKUP("Bi-214",$A$4:$L$32,3)/$B57,0)</f>
        <v>9.6018685840310411E-6</v>
      </c>
      <c r="D57" s="66">
        <f>IFERROR(VLOOKUP("Bi-214",$A$4:$L$32,4)/$B57,0)</f>
        <v>11.933690295733747</v>
      </c>
      <c r="E57" s="67">
        <f t="shared" si="69"/>
        <v>9.6018608583565979E-6</v>
      </c>
      <c r="F57" s="65">
        <f>IFERROR(VLOOKUP("Bi-214",$A$4:$L$32,6)/$B57,0)</f>
        <v>3.552691376091489E-7</v>
      </c>
      <c r="G57" s="66">
        <f>IFERROR(VLOOKUP("Bi-214",$A$4:$L$32,7)/$B57,0)</f>
        <v>0.44154654094214912</v>
      </c>
      <c r="H57" s="67">
        <f t="shared" si="70"/>
        <v>3.5526885175919456E-7</v>
      </c>
      <c r="I57" s="65">
        <f>IFERROR(VLOOKUP("Bi-214",$A$4:$L$32,9)/$B57,0)</f>
        <v>2.8767198277757006E-17</v>
      </c>
      <c r="J57" s="66">
        <f>IFERROR(VLOOKUP("Bi-214",$A$4:$L$32,10)/$B57,0)</f>
        <v>3.575333612601831E-11</v>
      </c>
      <c r="K57" s="67">
        <f>IFERROR(VLOOKUP("Bi-214",$A$4:$L$32,11)/$B57,0)</f>
        <v>2.8767175131636369E-17</v>
      </c>
      <c r="L57" s="64">
        <f t="shared" si="64"/>
        <v>2.1316131105551649E-3</v>
      </c>
    </row>
    <row r="58" spans="1:12">
      <c r="A58" s="31" t="s">
        <v>159</v>
      </c>
      <c r="B58" s="32">
        <v>0.99979000004200003</v>
      </c>
      <c r="C58" s="65">
        <f>IFERROR(VLOOKUP("Po-214",$A$4:$L$32,3)/$B58,0)</f>
        <v>9.6038834787845059E-6</v>
      </c>
      <c r="D58" s="66">
        <f>IFERROR(VLOOKUP("Po-214",$A$4:$L$32,4)/$B58,0)</f>
        <v>11.715153870279451</v>
      </c>
      <c r="E58" s="67">
        <f t="shared" si="69"/>
        <v>9.6038756056909663E-6</v>
      </c>
      <c r="F58" s="65">
        <f>IFERROR(VLOOKUP("Po-214",$A$4:$L$32,6)/$B58,0)</f>
        <v>3.5534368871502709E-7</v>
      </c>
      <c r="G58" s="66">
        <f>IFERROR(VLOOKUP("Po-214",$A$4:$L$32,7)/$B58,0)</f>
        <v>0.43346069320034014</v>
      </c>
      <c r="H58" s="67">
        <f t="shared" si="70"/>
        <v>3.5534339741056613E-7</v>
      </c>
      <c r="I58" s="65">
        <f>IFERROR(VLOOKUP("Po-214",$A$4:$L$32,9)/$B58,0)</f>
        <v>2.8773234902438386E-17</v>
      </c>
      <c r="J58" s="66">
        <f>IFERROR(VLOOKUP("Po-214",$A$4:$L$32,10)/$B58,0)</f>
        <v>3.5098600995357236E-11</v>
      </c>
      <c r="K58" s="67">
        <f>IFERROR(VLOOKUP("Po-214",$A$4:$L$32,11)/$B58,0)</f>
        <v>2.8773211314650132E-17</v>
      </c>
      <c r="L58" s="64">
        <f t="shared" si="64"/>
        <v>2.1320603844633946E-3</v>
      </c>
    </row>
    <row r="59" spans="1:12">
      <c r="A59" s="31" t="s">
        <v>160</v>
      </c>
      <c r="B59" s="32">
        <v>2.0999995799999999E-4</v>
      </c>
      <c r="C59" s="65">
        <f>IFERROR(VLOOKUP("Tl-210",$A$4:$L$32,3)/$B59,0)</f>
        <v>4.5723183733481151E-2</v>
      </c>
      <c r="D59" s="66">
        <f>IFERROR(VLOOKUP("Tl-210",$A$4:$L$32,4)/$B59,0)</f>
        <v>54760.656768302048</v>
      </c>
      <c r="E59" s="67">
        <f t="shared" si="69"/>
        <v>4.5723145556295038E-2</v>
      </c>
      <c r="F59" s="65">
        <f>IFERROR(VLOOKUP("Tl-210",$A$4:$L$32,6)/$B59,0)</f>
        <v>1.6917577981388045E-3</v>
      </c>
      <c r="G59" s="66">
        <f>IFERROR(VLOOKUP("Tl-210",$A$4:$L$32,7)/$B59,0)</f>
        <v>2026.1443004271775</v>
      </c>
      <c r="H59" s="67">
        <f t="shared" si="70"/>
        <v>1.6917563855829184E-3</v>
      </c>
      <c r="I59" s="65">
        <f>IFERROR(VLOOKUP("Tl-210",$A$4:$L$32,9)/$B59,0)</f>
        <v>1.3442616017643458E-13</v>
      </c>
      <c r="J59" s="66">
        <f>IFERROR(VLOOKUP("Tl-210",$A$4:$L$32,10)/$B59,0)</f>
        <v>1.6099633089880802E-7</v>
      </c>
      <c r="K59" s="67">
        <f>IFERROR(VLOOKUP("Tl-210",$A$4:$L$32,11)/$B59,0)</f>
        <v>1.3442604793550742E-13</v>
      </c>
      <c r="L59" s="64">
        <f t="shared" si="64"/>
        <v>10.150538313497499</v>
      </c>
    </row>
    <row r="60" spans="1:12">
      <c r="A60" s="31" t="s">
        <v>161</v>
      </c>
      <c r="B60" s="32">
        <v>1</v>
      </c>
      <c r="C60" s="65">
        <f>IFERROR(VLOOKUP("Pb-210",$A$4:$L$32,3)/$B60,0)</f>
        <v>9.6018666636573249E-6</v>
      </c>
      <c r="D60" s="66">
        <f>IFERROR(VLOOKUP("Pb-210",$A$4:$L$32,4)/$B60,0)</f>
        <v>3.6612761746846396</v>
      </c>
      <c r="E60" s="67">
        <f t="shared" si="69"/>
        <v>9.601841482382479E-6</v>
      </c>
      <c r="F60" s="65">
        <f>IFERROR(VLOOKUP("Pb-210",$A$4:$L$32,6)/$B60,0)</f>
        <v>3.552690665553214E-7</v>
      </c>
      <c r="G60" s="66">
        <f>IFERROR(VLOOKUP("Pb-210",$A$4:$L$32,7)/$B60,0)</f>
        <v>0.13546721846333179</v>
      </c>
      <c r="H60" s="67">
        <f t="shared" si="70"/>
        <v>3.5526813484815213E-7</v>
      </c>
      <c r="I60" s="65">
        <f>IFERROR(VLOOKUP("Pb-210",$A$4:$L$32,9)/$B60,0)</f>
        <v>2.8229487991152532E-17</v>
      </c>
      <c r="J60" s="66">
        <f>IFERROR(VLOOKUP("Pb-210",$A$4:$L$32,10)/$B60,0)</f>
        <v>1.0764151953572841E-11</v>
      </c>
      <c r="K60" s="67">
        <f>IFERROR(VLOOKUP("Pb-210",$A$4:$L$32,11)/$B60,0)</f>
        <v>2.8229413958204489E-17</v>
      </c>
      <c r="L60" s="64">
        <f t="shared" si="64"/>
        <v>2.1316088090889106E-3</v>
      </c>
    </row>
    <row r="61" spans="1:12">
      <c r="A61" s="31" t="s">
        <v>162</v>
      </c>
      <c r="B61" s="32">
        <v>1</v>
      </c>
      <c r="C61" s="65">
        <f>IFERROR(VLOOKUP("Bi-210",$A$4:$L$32,3)/$B61,0)</f>
        <v>9.6018666636573249E-6</v>
      </c>
      <c r="D61" s="66">
        <f>IFERROR(VLOOKUP("Bi-210",$A$4:$L$32,4)/$B61,0)</f>
        <v>9.805976111267773</v>
      </c>
      <c r="E61" s="67">
        <f t="shared" si="69"/>
        <v>9.601857261660818E-6</v>
      </c>
      <c r="F61" s="65">
        <f>IFERROR(VLOOKUP("Bi-210",$A$4:$L$32,6)/$B61,0)</f>
        <v>3.552690665553214E-7</v>
      </c>
      <c r="G61" s="66">
        <f>IFERROR(VLOOKUP("Bi-210",$A$4:$L$32,7)/$B61,0)</f>
        <v>0.36282111611690798</v>
      </c>
      <c r="H61" s="67">
        <f t="shared" si="70"/>
        <v>3.5526871868145059E-7</v>
      </c>
      <c r="I61" s="65">
        <f>IFERROR(VLOOKUP("Bi-210",$A$4:$L$32,9)/$B61,0)</f>
        <v>2.8229487991152532E-17</v>
      </c>
      <c r="J61" s="66">
        <f>IFERROR(VLOOKUP("Bi-210",$A$4:$L$32,10)/$B61,0)</f>
        <v>2.8829569767127254E-11</v>
      </c>
      <c r="K61" s="67">
        <f>IFERROR(VLOOKUP("Bi-210",$A$4:$L$32,11)/$B61,0)</f>
        <v>2.8229460349282806E-17</v>
      </c>
      <c r="L61" s="64">
        <f t="shared" si="64"/>
        <v>2.1316123120887018E-3</v>
      </c>
    </row>
    <row r="62" spans="1:12">
      <c r="A62" s="31" t="s">
        <v>164</v>
      </c>
      <c r="B62" s="32">
        <v>1</v>
      </c>
      <c r="C62" s="65">
        <f>IFERROR(VLOOKUP("Po-210",$A$4:$L$32,3)/$B62,0)</f>
        <v>9.6018666636573249E-6</v>
      </c>
      <c r="D62" s="66">
        <f>IFERROR(VLOOKUP("Po-210",$A$4:$L$32,4)/$B62,0)</f>
        <v>11.71269368845873</v>
      </c>
      <c r="E62" s="67">
        <f>IFERROR(IF(AND(C62&lt;&gt;0,D62&lt;&gt;0),(1/((1/C62)+(1/D62))),IF(AND(C62&lt;&gt;0,D62=0),(1/(1/C62)),IF(AND(C62=0,D62&lt;&gt;0),(1/(1/D62)),0))),0)</f>
        <v>9.6018587922171326E-6</v>
      </c>
      <c r="F62" s="65">
        <f>IFERROR(VLOOKUP("Po-210",$A$4:$L$32,6)/$B62,0)</f>
        <v>3.552690665553214E-7</v>
      </c>
      <c r="G62" s="66">
        <f>IFERROR(VLOOKUP("Po-210",$A$4:$L$32,7)/$B62,0)</f>
        <v>0.43336966647297342</v>
      </c>
      <c r="H62" s="67">
        <f>IFERROR(IF(AND(F62&lt;&gt;0,G62&lt;&gt;0),(1/((1/F62)+(1/G62))),IF(AND(F62&lt;&gt;0,G62=0),(1/(1/F62)),IF(AND(F62=0,G62&lt;&gt;0),(1/(1/G62)),0))),0)</f>
        <v>3.5526877531203432E-7</v>
      </c>
      <c r="I62" s="65">
        <f>IFERROR(VLOOKUP("Po-210",$A$4:$L$32,9)/$B62,0)</f>
        <v>2.8229487991152532E-17</v>
      </c>
      <c r="J62" s="66">
        <f>IFERROR(VLOOKUP("Po-210",$A$4:$L$32,10)/$B62,0)</f>
        <v>3.4435319444068666E-11</v>
      </c>
      <c r="K62" s="67">
        <f>IFERROR(VLOOKUP("Po-210",$A$4:$L$32,11)/$B62,0)</f>
        <v>2.8229464849118373E-17</v>
      </c>
      <c r="L62" s="64">
        <f>IF(E62&lt;&gt;".",E62*2.22*100,".")</f>
        <v>2.1316126518722035E-3</v>
      </c>
    </row>
    <row r="63" spans="1:12">
      <c r="A63" s="31" t="s">
        <v>163</v>
      </c>
      <c r="B63" s="34">
        <v>1.9000000000000001E-8</v>
      </c>
      <c r="C63" s="65">
        <f>IFERROR(VLOOKUP("Hg-206",$A$4:$L$32,3)/$B63,0)</f>
        <v>505.3614033503855</v>
      </c>
      <c r="D63" s="66">
        <f>IFERROR(VLOOKUP("Hg-206",$A$4:$L$32,4)/$B63,0)</f>
        <v>520136068.40195012</v>
      </c>
      <c r="E63" s="67">
        <f t="shared" si="69"/>
        <v>505.36091234444427</v>
      </c>
      <c r="F63" s="65">
        <f>IFERROR(VLOOKUP("Hg-206",$A$4:$L$32,6)/$B63,0)</f>
        <v>18.698371923964281</v>
      </c>
      <c r="G63" s="66">
        <f>IFERROR(VLOOKUP("Hg-206",$A$4:$L$32,7)/$B63,0)</f>
        <v>19245034.530872174</v>
      </c>
      <c r="H63" s="67">
        <f t="shared" si="70"/>
        <v>18.698353756744453</v>
      </c>
      <c r="I63" s="65">
        <f>IFERROR(VLOOKUP("Hg-206",$A$4:$L$32,9)/$B63,0)</f>
        <v>1.4574622872625116E-9</v>
      </c>
      <c r="J63" s="66">
        <f>IFERROR(VLOOKUP("Hg-206",$A$4:$L$32,10)/$B63,0)</f>
        <v>1.5000724212712246E-3</v>
      </c>
      <c r="K63" s="67">
        <f>IFERROR(VLOOKUP("Hg-206",$A$4:$L$32,11)/$B63,0)</f>
        <v>1.4574608712013773E-9</v>
      </c>
      <c r="L63" s="64">
        <f t="shared" si="64"/>
        <v>112190.12254046663</v>
      </c>
    </row>
    <row r="64" spans="1:12">
      <c r="A64" s="31" t="s">
        <v>165</v>
      </c>
      <c r="B64" s="32">
        <v>1.339E-6</v>
      </c>
      <c r="C64" s="65">
        <f>IFERROR(VLOOKUP("Tl-206",$A$4:$L$32,3)/$B64,0)</f>
        <v>7.170923572559615</v>
      </c>
      <c r="D64" s="66">
        <f>IFERROR(VLOOKUP("Tl-206",$A$4:$L$32,4)/$B64,0)</f>
        <v>4747302.3007252198</v>
      </c>
      <c r="E64" s="67">
        <f t="shared" si="69"/>
        <v>7.1709127407094497</v>
      </c>
      <c r="F64" s="65">
        <f>IFERROR(VLOOKUP("Tl-206",$A$4:$L$32,6)/$B64,0)</f>
        <v>0.26532417218470605</v>
      </c>
      <c r="G64" s="66">
        <f>IFERROR(VLOOKUP("Tl-206",$A$4:$L$32,7)/$B64,0)</f>
        <v>175650.1851268333</v>
      </c>
      <c r="H64" s="67">
        <f t="shared" si="70"/>
        <v>0.26532377140624996</v>
      </c>
      <c r="I64" s="65">
        <f>IFERROR(VLOOKUP("Tl-206",$A$4:$L$32,9)/$B64,0)</f>
        <v>2.0680943583261931E-11</v>
      </c>
      <c r="J64" s="66">
        <f>IFERROR(VLOOKUP("Tl-206",$A$4:$L$32,10)/$B64,0)</f>
        <v>1.3691219835291533E-5</v>
      </c>
      <c r="K64" s="67">
        <f>IFERROR(VLOOKUP("Tl-206",$A$4:$L$32,11)/$B64,0)</f>
        <v>2.0680912344206057E-11</v>
      </c>
      <c r="L64" s="64">
        <f t="shared" si="64"/>
        <v>1591.9426284374981</v>
      </c>
    </row>
    <row r="65" spans="1:12">
      <c r="A65" s="30" t="s">
        <v>31</v>
      </c>
      <c r="B65" s="30" t="s">
        <v>50</v>
      </c>
      <c r="C65" s="71">
        <f t="shared" ref="C65:H65" si="71">IFERROR(1/SUM(1/C66,1/C67,1/C68,1/C69,1/C70,1/C71,1/C72,1/C73,1/C74,1/C75,1/C76,1/C77),0)</f>
        <v>1.2002333301066113E-6</v>
      </c>
      <c r="D65" s="72">
        <f t="shared" si="71"/>
        <v>0.8466649191479283</v>
      </c>
      <c r="E65" s="72">
        <f t="shared" si="71"/>
        <v>1.2002316286566374E-6</v>
      </c>
      <c r="F65" s="71">
        <f t="shared" si="71"/>
        <v>4.4408633213944677E-8</v>
      </c>
      <c r="G65" s="72">
        <f t="shared" si="71"/>
        <v>3.1326602008473377E-2</v>
      </c>
      <c r="H65" s="72">
        <f t="shared" si="71"/>
        <v>4.4408570260295633E-8</v>
      </c>
      <c r="I65" s="68">
        <f>IFERROR(C65*Isospec!$C$26*Isospec!$F$26*s_SSLcm_m,".")</f>
        <v>3.7303251899713479E-18</v>
      </c>
      <c r="J65" s="69">
        <f>IFERROR(D65*Isospec!$C$26*Isospec!$F$26*s_SSLcm_m,".")</f>
        <v>2.6314345687117609E-12</v>
      </c>
      <c r="K65" s="70">
        <f>IFERROR(E65*Isospec!$C$26*Isospec!$F$26*s_SSLcm_m,".")</f>
        <v>3.7303199018648294E-18</v>
      </c>
      <c r="L65" s="63">
        <f t="shared" si="64"/>
        <v>2.6645142156177351E-4</v>
      </c>
    </row>
    <row r="66" spans="1:12">
      <c r="A66" s="31" t="s">
        <v>153</v>
      </c>
      <c r="B66" s="32">
        <v>1</v>
      </c>
      <c r="C66" s="65">
        <f>IFERROR(VLOOKUP("Rn-222",$A$4:$L$32,3)/$B66,0)</f>
        <v>9.6018666636573249E-6</v>
      </c>
      <c r="D66" s="66">
        <f>IFERROR(VLOOKUP("Rn-222",$A$4:$L$32,4)/$B66,0)</f>
        <v>11.345030657879308</v>
      </c>
      <c r="E66" s="67">
        <f t="shared" ref="E66:E67" si="72">IFERROR(IF(AND(C66&lt;&gt;0,D66&lt;&gt;0),(1/((1/C66)+(1/D66))),IF(AND(C66&lt;&gt;0,D66=0),(1/(1/C66)),IF(AND(C66=0,D66&lt;&gt;0),(1/(1/D66)),0))),0)</f>
        <v>9.6018585371243802E-6</v>
      </c>
      <c r="F66" s="65">
        <f>IFERROR(VLOOKUP("Rn-222",$A$4:$L$32,6)/$B66,0)</f>
        <v>3.552690665553214E-7</v>
      </c>
      <c r="G66" s="66">
        <f>IFERROR(VLOOKUP("Rn-222",$A$4:$L$32,7)/$B66,0)</f>
        <v>0.41976613434153481</v>
      </c>
      <c r="H66" s="67">
        <f t="shared" ref="H66:H67" si="73">IFERROR(IF(AND(F66&lt;&gt;0,G66&lt;&gt;0),(1/((1/F66)+(1/G66))),IF(AND(F66&lt;&gt;0,G66=0),(1/(1/F66)),IF(AND(F66=0,G66&lt;&gt;0),(1/(1/G66)),0))),0)</f>
        <v>3.5526876587360246E-7</v>
      </c>
      <c r="I66" s="65">
        <f>IFERROR(VLOOKUP("Rn-222",$A$4:$L$32,9)/$B66,0)</f>
        <v>2.9842601590646965E-17</v>
      </c>
      <c r="J66" s="66">
        <f>IFERROR(VLOOKUP("Rn-222",$A$4:$L$32,10)/$B66,0)</f>
        <v>3.5260355284688885E-11</v>
      </c>
      <c r="K66" s="67">
        <f>IFERROR(VLOOKUP("Rn-222",$A$4:$L$32,11)/$B66,0)</f>
        <v>2.9842576333382573E-17</v>
      </c>
      <c r="L66" s="64">
        <f t="shared" si="64"/>
        <v>2.1316125952416127E-3</v>
      </c>
    </row>
    <row r="67" spans="1:12">
      <c r="A67" s="31" t="s">
        <v>154</v>
      </c>
      <c r="B67" s="32">
        <v>1</v>
      </c>
      <c r="C67" s="65">
        <f>IFERROR(VLOOKUP("Po-218",$A$4:$L$32,3)/$B67,0)</f>
        <v>9.6018666636573249E-6</v>
      </c>
      <c r="D67" s="66">
        <f>IFERROR(VLOOKUP("Po-218",$A$4:$L$32,4)/$B67,0)</f>
        <v>2.8110464852300954</v>
      </c>
      <c r="E67" s="67">
        <f t="shared" si="72"/>
        <v>9.6018338660750039E-6</v>
      </c>
      <c r="F67" s="65">
        <f>IFERROR(VLOOKUP("Po-218",$A$4:$L$32,6)/$B67,0)</f>
        <v>3.552690665553214E-7</v>
      </c>
      <c r="G67" s="66">
        <f>IFERROR(VLOOKUP("Po-218",$A$4:$L$32,7)/$B67,0)</f>
        <v>0.10400871995351363</v>
      </c>
      <c r="H67" s="67">
        <f t="shared" si="73"/>
        <v>3.5526785304477551E-7</v>
      </c>
      <c r="I67" s="65">
        <f>IFERROR(VLOOKUP("Po-218",$A$4:$L$32,9)/$B67,0)</f>
        <v>2.9304897057482154E-17</v>
      </c>
      <c r="J67" s="66">
        <f>IFERROR(VLOOKUP("Po-218",$A$4:$L$32,10)/$B67,0)</f>
        <v>8.5793138729222515E-12</v>
      </c>
      <c r="K67" s="67">
        <f>IFERROR(VLOOKUP("Po-218",$A$4:$L$32,11)/$B67,0)</f>
        <v>2.9304796959260916E-17</v>
      </c>
      <c r="L67" s="64">
        <f t="shared" si="64"/>
        <v>2.1316071182686507E-3</v>
      </c>
    </row>
    <row r="68" spans="1:12">
      <c r="A68" s="31" t="s">
        <v>156</v>
      </c>
      <c r="B68" s="32">
        <v>2.0000000000000001E-4</v>
      </c>
      <c r="C68" s="65">
        <f>IFERROR(VLOOKUP("At-218",$A$4:$L$32,3)/$B68,0)</f>
        <v>4.8009333318286621E-2</v>
      </c>
      <c r="D68" s="66">
        <f>IFERROR(VLOOKUP("At-218",$A$4:$L$32,4)/$B68,0)</f>
        <v>14055.232426150476</v>
      </c>
      <c r="E68" s="67">
        <f>IFERROR(IF(AND(C68&lt;&gt;0,D68&lt;&gt;0),(1/((1/C68)+(1/D68))),IF(AND(C68&lt;&gt;0,D68=0),(1/(1/C68)),IF(AND(C68=0,D68&lt;&gt;0),(1/(1/D68)),0))),0)</f>
        <v>4.8009169330375009E-2</v>
      </c>
      <c r="F68" s="65">
        <f>IFERROR(VLOOKUP("At-218",$A$4:$L$32,6)/$B68,0)</f>
        <v>1.776345332776607E-3</v>
      </c>
      <c r="G68" s="66">
        <f>IFERROR(VLOOKUP("At-218",$A$4:$L$32,7)/$B68,0)</f>
        <v>520.04359976756814</v>
      </c>
      <c r="H68" s="67">
        <f>IFERROR(IF(AND(F68&lt;&gt;0,G68&lt;&gt;0),(1/((1/F68)+(1/G68))),IF(AND(F68&lt;&gt;0,G68=0),(1/(1/F68)),IF(AND(F68=0,G68&lt;&gt;0),(1/(1/G68)),0))),0)</f>
        <v>1.7763392652238776E-3</v>
      </c>
      <c r="I68" s="65">
        <f>IFERROR(VLOOKUP("At-218",$A$4:$L$32,9)/$B68,0)</f>
        <v>1.4652448528741076E-13</v>
      </c>
      <c r="J68" s="66">
        <f>IFERROR(VLOOKUP("At-218",$A$4:$L$32,10)/$B68,0)</f>
        <v>4.2896569364611257E-8</v>
      </c>
      <c r="K68" s="67">
        <f>IFERROR(VLOOKUP("At-218",$A$4:$L$32,11)/$B68,0)</f>
        <v>1.4652398479630458E-13</v>
      </c>
      <c r="L68" s="64">
        <f>IF(E68&lt;&gt;".",E68*2.22*100,".")</f>
        <v>10.658035591343253</v>
      </c>
    </row>
    <row r="69" spans="1:12">
      <c r="A69" s="31" t="s">
        <v>158</v>
      </c>
      <c r="B69" s="32">
        <v>1.9999999999999999E-7</v>
      </c>
      <c r="C69" s="65">
        <f>IFERROR(VLOOKUP("Rn-218",$A$4:$L$32,3)/$B69,0)</f>
        <v>48.009333318286629</v>
      </c>
      <c r="D69" s="66">
        <f>IFERROR(VLOOKUP("Rn-218",$A$4:$L$32,4)/$B69,0)</f>
        <v>56725153.289396539</v>
      </c>
      <c r="E69" s="67">
        <f>IFERROR(IF(AND(C69&lt;&gt;0,D69&lt;&gt;0),(1/((1/C69)+(1/D69))),IF(AND(C69&lt;&gt;0,D69=0),(1/(1/C69)),IF(AND(C69=0,D69&lt;&gt;0),(1/(1/D69)),0))),0)</f>
        <v>48.009292685621908</v>
      </c>
      <c r="F69" s="65">
        <f>IFERROR(VLOOKUP("Rn-218",$A$4:$L$32,6)/$B69,0)</f>
        <v>1.776345332776607</v>
      </c>
      <c r="G69" s="66">
        <f>IFERROR(VLOOKUP("Rn-218",$A$4:$L$32,7)/$B69,0)</f>
        <v>2098830.6717076739</v>
      </c>
      <c r="H69" s="67">
        <f>IFERROR(IF(AND(F69&lt;&gt;0,G69&lt;&gt;0),(1/((1/F69)+(1/G69))),IF(AND(F69&lt;&gt;0,G69=0),(1/(1/F69)),IF(AND(F69=0,G69&lt;&gt;0),(1/(1/G69)),0))),0)</f>
        <v>1.7763438293680125</v>
      </c>
      <c r="I69" s="65">
        <f>IFERROR(VLOOKUP("Rn-218",$A$4:$L$32,9)/$B69,0)</f>
        <v>1.4652448528741078E-10</v>
      </c>
      <c r="J69" s="66">
        <f>IFERROR(VLOOKUP("Rn-218",$A$4:$L$32,10)/$B69,0)</f>
        <v>1.7312516783923824E-4</v>
      </c>
      <c r="K69" s="67">
        <f>IFERROR(VLOOKUP("Rn-218",$A$4:$L$32,11)/$B69,0)</f>
        <v>1.4652436127651806E-10</v>
      </c>
      <c r="L69" s="64">
        <f>IF(E69&lt;&gt;".",E69*2.22*100,".")</f>
        <v>10658.062976208064</v>
      </c>
    </row>
    <row r="70" spans="1:12">
      <c r="A70" s="31" t="s">
        <v>155</v>
      </c>
      <c r="B70" s="32">
        <v>0.99980000000000002</v>
      </c>
      <c r="C70" s="65">
        <f>IFERROR(VLOOKUP("Pb-214",$A$4:$L$32,3)/$B70,0)</f>
        <v>9.603787421141553E-6</v>
      </c>
      <c r="D70" s="66">
        <f>IFERROR(VLOOKUP("Pb-214",$A$4:$L$32,4)/$B70,0)</f>
        <v>9.3031173760747947</v>
      </c>
      <c r="E70" s="67">
        <f t="shared" ref="E70:E75" si="74">IFERROR(IF(AND(C70&lt;&gt;0,D70&lt;&gt;0),(1/((1/C70)+(1/D70))),IF(AND(C70&lt;&gt;0,D70=0),(1/(1/C70)),IF(AND(C70=0,D70&lt;&gt;0),(1/(1/D70)),0))),0)</f>
        <v>9.6037775069768829E-6</v>
      </c>
      <c r="F70" s="65">
        <f>IFERROR(VLOOKUP("Pb-214",$A$4:$L$32,6)/$B70,0)</f>
        <v>3.5534013458223781E-7</v>
      </c>
      <c r="G70" s="66">
        <f>IFERROR(VLOOKUP("Pb-214",$A$4:$L$32,7)/$B70,0)</f>
        <v>0.34421534291476774</v>
      </c>
      <c r="H70" s="67">
        <f t="shared" ref="H70:H75" si="75">IFERROR(IF(AND(F70&lt;&gt;0,G70&lt;&gt;0),(1/((1/F70)+(1/G70))),IF(AND(F70&lt;&gt;0,G70=0),(1/(1/F70)),IF(AND(F70=0,G70&lt;&gt;0),(1/(1/G70)),0))),0)</f>
        <v>3.55339767758145E-7</v>
      </c>
      <c r="I70" s="65">
        <f>IFERROR(VLOOKUP("Pb-214",$A$4:$L$32,9)/$B70,0)</f>
        <v>2.8772947113740097E-17</v>
      </c>
      <c r="J70" s="66">
        <f>IFERROR(VLOOKUP("Pb-214",$A$4:$L$32,10)/$B70,0)</f>
        <v>2.7872139658720082E-11</v>
      </c>
      <c r="K70" s="67">
        <f>IFERROR(VLOOKUP("Pb-214",$A$4:$L$32,11)/$B70,0)</f>
        <v>2.8772917410902736E-17</v>
      </c>
      <c r="L70" s="64">
        <f t="shared" ref="L70:L75" si="76">IF(E70&lt;&gt;".",E70*2.22*100,".")</f>
        <v>2.1320386065488682E-3</v>
      </c>
    </row>
    <row r="71" spans="1:12">
      <c r="A71" s="31" t="s">
        <v>157</v>
      </c>
      <c r="B71" s="32">
        <v>0.99999979999999999</v>
      </c>
      <c r="C71" s="65">
        <f>IFERROR(VLOOKUP("Bi-214",$A$4:$L$32,3)/$B71,0)</f>
        <v>9.6018685840310411E-6</v>
      </c>
      <c r="D71" s="66">
        <f>IFERROR(VLOOKUP("Bi-214",$A$4:$L$32,4)/$B71,0)</f>
        <v>11.933690295733747</v>
      </c>
      <c r="E71" s="67">
        <f t="shared" si="74"/>
        <v>9.6018608583565979E-6</v>
      </c>
      <c r="F71" s="65">
        <f>IFERROR(VLOOKUP("Bi-214",$A$4:$L$32,6)/$B71,0)</f>
        <v>3.552691376091489E-7</v>
      </c>
      <c r="G71" s="66">
        <f>IFERROR(VLOOKUP("Bi-214",$A$4:$L$32,7)/$B71,0)</f>
        <v>0.44154654094214912</v>
      </c>
      <c r="H71" s="67">
        <f t="shared" si="75"/>
        <v>3.5526885175919456E-7</v>
      </c>
      <c r="I71" s="65">
        <f>IFERROR(VLOOKUP("Bi-214",$A$4:$L$32,9)/$B71,0)</f>
        <v>2.8767198277757006E-17</v>
      </c>
      <c r="J71" s="66">
        <f>IFERROR(VLOOKUP("Bi-214",$A$4:$L$32,10)/$B71,0)</f>
        <v>3.575333612601831E-11</v>
      </c>
      <c r="K71" s="67">
        <f>IFERROR(VLOOKUP("Bi-214",$A$4:$L$32,11)/$B71,0)</f>
        <v>2.8767175131636369E-17</v>
      </c>
      <c r="L71" s="64">
        <f t="shared" si="76"/>
        <v>2.1316131105551649E-3</v>
      </c>
    </row>
    <row r="72" spans="1:12">
      <c r="A72" s="31" t="s">
        <v>159</v>
      </c>
      <c r="B72" s="32">
        <v>0.99979000004200003</v>
      </c>
      <c r="C72" s="65">
        <f>IFERROR(VLOOKUP("Po-214",$A$4:$L$32,3)/$B72,0)</f>
        <v>9.6038834787845059E-6</v>
      </c>
      <c r="D72" s="66">
        <f>IFERROR(VLOOKUP("Po-214",$A$4:$L$32,4)/$B72,0)</f>
        <v>11.715153870279451</v>
      </c>
      <c r="E72" s="67">
        <f t="shared" si="74"/>
        <v>9.6038756056909663E-6</v>
      </c>
      <c r="F72" s="65">
        <f>IFERROR(VLOOKUP("Po-214",$A$4:$L$32,6)/$B72,0)</f>
        <v>3.5534368871502709E-7</v>
      </c>
      <c r="G72" s="66">
        <f>IFERROR(VLOOKUP("Po-214",$A$4:$L$32,7)/$B72,0)</f>
        <v>0.43346069320034014</v>
      </c>
      <c r="H72" s="67">
        <f t="shared" si="75"/>
        <v>3.5534339741056613E-7</v>
      </c>
      <c r="I72" s="65">
        <f>IFERROR(VLOOKUP("Po-214",$A$4:$L$32,9)/$B72,0)</f>
        <v>2.8773234902438386E-17</v>
      </c>
      <c r="J72" s="66">
        <f>IFERROR(VLOOKUP("Po-214",$A$4:$L$32,10)/$B72,0)</f>
        <v>3.5098600995357236E-11</v>
      </c>
      <c r="K72" s="67">
        <f>IFERROR(VLOOKUP("Po-214",$A$4:$L$32,11)/$B72,0)</f>
        <v>2.8773211314650132E-17</v>
      </c>
      <c r="L72" s="64">
        <f t="shared" si="76"/>
        <v>2.1320603844633946E-3</v>
      </c>
    </row>
    <row r="73" spans="1:12">
      <c r="A73" s="31" t="s">
        <v>160</v>
      </c>
      <c r="B73" s="32">
        <v>2.0999995799999999E-4</v>
      </c>
      <c r="C73" s="65">
        <f>IFERROR(VLOOKUP("Tl-210",$A$4:$L$32,3)/$B73,0)</f>
        <v>4.5723183733481151E-2</v>
      </c>
      <c r="D73" s="66">
        <f>IFERROR(VLOOKUP("Tl-210",$A$4:$L$32,4)/$B73,0)</f>
        <v>54760.656768302048</v>
      </c>
      <c r="E73" s="67">
        <f t="shared" si="74"/>
        <v>4.5723145556295038E-2</v>
      </c>
      <c r="F73" s="65">
        <f>IFERROR(VLOOKUP("Tl-210",$A$4:$L$32,6)/$B73,0)</f>
        <v>1.6917577981388045E-3</v>
      </c>
      <c r="G73" s="66">
        <f>IFERROR(VLOOKUP("Tl-210",$A$4:$L$32,7)/$B73,0)</f>
        <v>2026.1443004271775</v>
      </c>
      <c r="H73" s="67">
        <f t="shared" si="75"/>
        <v>1.6917563855829184E-3</v>
      </c>
      <c r="I73" s="65">
        <f>IFERROR(VLOOKUP("Tl-210",$A$4:$L$32,9)/$B73,0)</f>
        <v>1.3442616017643458E-13</v>
      </c>
      <c r="J73" s="66">
        <f>IFERROR(VLOOKUP("Tl-210",$A$4:$L$32,10)/$B73,0)</f>
        <v>1.6099633089880802E-7</v>
      </c>
      <c r="K73" s="67">
        <f>IFERROR(VLOOKUP("Tl-210",$A$4:$L$32,11)/$B73,0)</f>
        <v>1.3442604793550742E-13</v>
      </c>
      <c r="L73" s="64">
        <f t="shared" si="76"/>
        <v>10.150538313497499</v>
      </c>
    </row>
    <row r="74" spans="1:12">
      <c r="A74" s="31" t="s">
        <v>161</v>
      </c>
      <c r="B74" s="32">
        <v>1</v>
      </c>
      <c r="C74" s="65">
        <f>IFERROR(VLOOKUP("Pb-210",$A$4:$L$32,3)/$B74,0)</f>
        <v>9.6018666636573249E-6</v>
      </c>
      <c r="D74" s="66">
        <f>IFERROR(VLOOKUP("Pb-210",$A$4:$L$32,4)/$B74,0)</f>
        <v>3.6612761746846396</v>
      </c>
      <c r="E74" s="67">
        <f t="shared" si="74"/>
        <v>9.601841482382479E-6</v>
      </c>
      <c r="F74" s="65">
        <f>IFERROR(VLOOKUP("Pb-210",$A$4:$L$32,6)/$B74,0)</f>
        <v>3.552690665553214E-7</v>
      </c>
      <c r="G74" s="66">
        <f>IFERROR(VLOOKUP("Pb-210",$A$4:$L$32,7)/$B74,0)</f>
        <v>0.13546721846333179</v>
      </c>
      <c r="H74" s="67">
        <f t="shared" si="75"/>
        <v>3.5526813484815213E-7</v>
      </c>
      <c r="I74" s="65">
        <f>IFERROR(VLOOKUP("Pb-210",$A$4:$L$32,9)/$B74,0)</f>
        <v>2.8229487991152532E-17</v>
      </c>
      <c r="J74" s="66">
        <f>IFERROR(VLOOKUP("Pb-210",$A$4:$L$32,10)/$B74,0)</f>
        <v>1.0764151953572841E-11</v>
      </c>
      <c r="K74" s="67">
        <f>IFERROR(VLOOKUP("Pb-210",$A$4:$L$32,11)/$B74,0)</f>
        <v>2.8229413958204489E-17</v>
      </c>
      <c r="L74" s="64">
        <f t="shared" si="76"/>
        <v>2.1316088090889106E-3</v>
      </c>
    </row>
    <row r="75" spans="1:12">
      <c r="A75" s="31" t="s">
        <v>162</v>
      </c>
      <c r="B75" s="32">
        <v>1</v>
      </c>
      <c r="C75" s="65">
        <f>IFERROR(VLOOKUP("Bi-210",$A$4:$L$32,3)/$B75,0)</f>
        <v>9.6018666636573249E-6</v>
      </c>
      <c r="D75" s="66">
        <f>IFERROR(VLOOKUP("Bi-210",$A$4:$L$32,4)/$B75,0)</f>
        <v>9.805976111267773</v>
      </c>
      <c r="E75" s="67">
        <f t="shared" si="74"/>
        <v>9.601857261660818E-6</v>
      </c>
      <c r="F75" s="65">
        <f>IFERROR(VLOOKUP("Bi-210",$A$4:$L$32,6)/$B75,0)</f>
        <v>3.552690665553214E-7</v>
      </c>
      <c r="G75" s="66">
        <f>IFERROR(VLOOKUP("Bi-210",$A$4:$L$32,7)/$B75,0)</f>
        <v>0.36282111611690798</v>
      </c>
      <c r="H75" s="67">
        <f t="shared" si="75"/>
        <v>3.5526871868145059E-7</v>
      </c>
      <c r="I75" s="65">
        <f>IFERROR(VLOOKUP("Bi-210",$A$4:$L$32,9)/$B75,0)</f>
        <v>2.8229487991152532E-17</v>
      </c>
      <c r="J75" s="66">
        <f>IFERROR(VLOOKUP("Bi-210",$A$4:$L$32,10)/$B75,0)</f>
        <v>2.8829569767127254E-11</v>
      </c>
      <c r="K75" s="67">
        <f>IFERROR(VLOOKUP("Bi-210",$A$4:$L$32,11)/$B75,0)</f>
        <v>2.8229460349282806E-17</v>
      </c>
      <c r="L75" s="64">
        <f t="shared" si="76"/>
        <v>2.1316123120887018E-3</v>
      </c>
    </row>
    <row r="76" spans="1:12">
      <c r="A76" s="31" t="s">
        <v>164</v>
      </c>
      <c r="B76" s="32">
        <v>1</v>
      </c>
      <c r="C76" s="65">
        <f>IFERROR(VLOOKUP("Po-210",$A$4:$L$32,3)/$B76,0)</f>
        <v>9.6018666636573249E-6</v>
      </c>
      <c r="D76" s="66">
        <f>IFERROR(VLOOKUP("Po-210",$A$4:$L$32,4)/$B76,0)</f>
        <v>11.71269368845873</v>
      </c>
      <c r="E76" s="67">
        <f>IFERROR(IF(AND(C76&lt;&gt;0,D76&lt;&gt;0),(1/((1/C76)+(1/D76))),IF(AND(C76&lt;&gt;0,D76=0),(1/(1/C76)),IF(AND(C76=0,D76&lt;&gt;0),(1/(1/D76)),0))),0)</f>
        <v>9.6018587922171326E-6</v>
      </c>
      <c r="F76" s="65">
        <f>IFERROR(VLOOKUP("Po-210",$A$4:$L$32,6)/$B76,0)</f>
        <v>3.552690665553214E-7</v>
      </c>
      <c r="G76" s="66">
        <f>IFERROR(VLOOKUP("Po-210",$A$4:$L$32,7)/$B76,0)</f>
        <v>0.43336966647297342</v>
      </c>
      <c r="H76" s="67">
        <f>IFERROR(IF(AND(F76&lt;&gt;0,G76&lt;&gt;0),(1/((1/F76)+(1/G76))),IF(AND(F76&lt;&gt;0,G76=0),(1/(1/F76)),IF(AND(F76=0,G76&lt;&gt;0),(1/(1/G76)),0))),0)</f>
        <v>3.5526877531203432E-7</v>
      </c>
      <c r="I76" s="65">
        <f>IFERROR(VLOOKUP("Po-210",$A$4:$L$32,9)/$B76,0)</f>
        <v>2.8229487991152532E-17</v>
      </c>
      <c r="J76" s="66">
        <f>IFERROR(VLOOKUP("Po-210",$A$4:$L$32,10)/$B76,0)</f>
        <v>3.4435319444068666E-11</v>
      </c>
      <c r="K76" s="67">
        <f>IFERROR(VLOOKUP("Po-210",$A$4:$L$32,11)/$B76,0)</f>
        <v>2.8229464849118373E-17</v>
      </c>
      <c r="L76" s="64">
        <f>IF(E76&lt;&gt;".",E76*2.22*100,".")</f>
        <v>2.1316126518722035E-3</v>
      </c>
    </row>
    <row r="77" spans="1:12">
      <c r="A77" s="31" t="s">
        <v>163</v>
      </c>
      <c r="B77" s="34">
        <v>1.9000000000000001E-8</v>
      </c>
      <c r="C77" s="65">
        <f>IFERROR(VLOOKUP("Hg-206",$A$4:$L$32,3)/$B77,0)</f>
        <v>505.3614033503855</v>
      </c>
      <c r="D77" s="66">
        <f>IFERROR(VLOOKUP("Hg-206",$A$4:$L$32,4)/$B77,0)</f>
        <v>520136068.40195012</v>
      </c>
      <c r="E77" s="67">
        <f t="shared" ref="E77:E78" si="77">IFERROR(IF(AND(C77&lt;&gt;0,D77&lt;&gt;0),(1/((1/C77)+(1/D77))),IF(AND(C77&lt;&gt;0,D77=0),(1/(1/C77)),IF(AND(C77=0,D77&lt;&gt;0),(1/(1/D77)),0))),0)</f>
        <v>505.36091234444427</v>
      </c>
      <c r="F77" s="65">
        <f>IFERROR(VLOOKUP("Hg-206",$A$4:$L$32,6)/$B77,0)</f>
        <v>18.698371923964281</v>
      </c>
      <c r="G77" s="66">
        <f>IFERROR(VLOOKUP("Hg-206",$A$4:$L$32,7)/$B77,0)</f>
        <v>19245034.530872174</v>
      </c>
      <c r="H77" s="67">
        <f t="shared" ref="H77:H78" si="78">IFERROR(IF(AND(F77&lt;&gt;0,G77&lt;&gt;0),(1/((1/F77)+(1/G77))),IF(AND(F77&lt;&gt;0,G77=0),(1/(1/F77)),IF(AND(F77=0,G77&lt;&gt;0),(1/(1/G77)),0))),0)</f>
        <v>18.698353756744453</v>
      </c>
      <c r="I77" s="65">
        <f>IFERROR(VLOOKUP("Hg-206",$A$4:$L$32,9)/$B77,0)</f>
        <v>1.4574622872625116E-9</v>
      </c>
      <c r="J77" s="66">
        <f>IFERROR(VLOOKUP("Hg-206",$A$4:$L$32,10)/$B77,0)</f>
        <v>1.5000724212712246E-3</v>
      </c>
      <c r="K77" s="67">
        <f>IFERROR(VLOOKUP("Hg-206",$A$4:$L$32,11)/$B77,0)</f>
        <v>1.4574608712013773E-9</v>
      </c>
      <c r="L77" s="64">
        <f t="shared" ref="L77:L78" si="79">IF(E77&lt;&gt;".",E77*2.22*100,".")</f>
        <v>112190.12254046663</v>
      </c>
    </row>
    <row r="78" spans="1:12">
      <c r="A78" s="31" t="s">
        <v>165</v>
      </c>
      <c r="B78" s="32">
        <v>1.339E-6</v>
      </c>
      <c r="C78" s="65">
        <f>IFERROR(VLOOKUP("Tl-206",$A$4:$L$32,3)/$B78,0)</f>
        <v>7.170923572559615</v>
      </c>
      <c r="D78" s="66">
        <f>IFERROR(VLOOKUP("Tl-206",$A$4:$L$32,4)/$B78,0)</f>
        <v>4747302.3007252198</v>
      </c>
      <c r="E78" s="67">
        <f t="shared" si="77"/>
        <v>7.1709127407094497</v>
      </c>
      <c r="F78" s="65">
        <f>IFERROR(VLOOKUP("Tl-206",$A$4:$L$32,6)/$B78,0)</f>
        <v>0.26532417218470605</v>
      </c>
      <c r="G78" s="66">
        <f>IFERROR(VLOOKUP("Tl-206",$A$4:$L$32,7)/$B78,0)</f>
        <v>175650.1851268333</v>
      </c>
      <c r="H78" s="67">
        <f t="shared" si="78"/>
        <v>0.26532377140624996</v>
      </c>
      <c r="I78" s="65">
        <f>IFERROR(VLOOKUP("Tl-206",$A$4:$L$32,9)/$B78,0)</f>
        <v>2.0680943583261931E-11</v>
      </c>
      <c r="J78" s="66">
        <f>IFERROR(VLOOKUP("Tl-206",$A$4:$L$32,10)/$B78,0)</f>
        <v>1.3691219835291533E-5</v>
      </c>
      <c r="K78" s="67">
        <f>IFERROR(VLOOKUP("Tl-206",$A$4:$L$32,11)/$B78,0)</f>
        <v>2.0680912344206057E-11</v>
      </c>
      <c r="L78" s="64">
        <f t="shared" si="79"/>
        <v>1591.9426284374981</v>
      </c>
    </row>
  </sheetData>
  <sheetProtection algorithmName="SHA-512" hashValue="he1ceYHVF1nwF9Ndfe24p6EM951hlMJUVpvXMbh9HrK/K1R6HKM2V8w/esZ7zObcsPtLto6tvx3IhR82T3CK8Q==" saltValue="UhfVtOxCllgDSEKg0nGLiQ==" spinCount="100000" sheet="1" formatCells="0" formatColumns="0" formatRows="0" insertColumns="0" insertRows="0" autoFilter="0"/>
  <autoFilter ref="A2:L78" xr:uid="{00000000-0001-0000-0B00-000000000000}"/>
  <mergeCells count="3">
    <mergeCell ref="C1:E1"/>
    <mergeCell ref="F1:H1"/>
    <mergeCell ref="I1:K1"/>
  </mergeCell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499984740745262"/>
  </sheetPr>
  <dimension ref="A1:K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12.7109375" defaultRowHeight="12.75"/>
  <cols>
    <col min="1" max="1" width="12.5703125" style="22" bestFit="1" customWidth="1"/>
    <col min="2" max="2" width="12" style="22" bestFit="1" customWidth="1"/>
    <col min="3" max="3" width="12.28515625" style="22" bestFit="1" customWidth="1"/>
    <col min="4" max="4" width="12.85546875" style="22" bestFit="1" customWidth="1"/>
    <col min="5" max="5" width="12" style="22" bestFit="1" customWidth="1"/>
    <col min="6" max="6" width="12.28515625" style="22" bestFit="1" customWidth="1"/>
    <col min="7" max="7" width="12.85546875" style="22" bestFit="1" customWidth="1"/>
    <col min="8" max="8" width="12" style="22" bestFit="1" customWidth="1"/>
    <col min="9" max="9" width="12.28515625" style="22" bestFit="1" customWidth="1"/>
    <col min="10" max="10" width="12.85546875" style="22" bestFit="1" customWidth="1"/>
    <col min="11" max="11" width="12" style="22" bestFit="1" customWidth="1"/>
  </cols>
  <sheetData>
    <row r="1" spans="1:11" ht="13.5" thickBot="1">
      <c r="C1" s="140" t="s">
        <v>51</v>
      </c>
      <c r="D1" s="141"/>
      <c r="E1" s="141"/>
      <c r="F1" s="140" t="s">
        <v>100</v>
      </c>
      <c r="G1" s="141"/>
      <c r="H1" s="141"/>
      <c r="I1" s="140" t="s">
        <v>101</v>
      </c>
      <c r="J1" s="141"/>
      <c r="K1" s="141"/>
    </row>
    <row r="2" spans="1:11">
      <c r="A2" s="11" t="s">
        <v>0</v>
      </c>
      <c r="B2" s="11" t="s">
        <v>43</v>
      </c>
      <c r="C2" s="35" t="s">
        <v>167</v>
      </c>
      <c r="D2" s="36" t="s">
        <v>168</v>
      </c>
      <c r="E2" s="37" t="s">
        <v>169</v>
      </c>
      <c r="F2" s="36" t="s">
        <v>167</v>
      </c>
      <c r="G2" s="36" t="s">
        <v>168</v>
      </c>
      <c r="H2" s="38" t="s">
        <v>169</v>
      </c>
      <c r="I2" s="36" t="s">
        <v>167</v>
      </c>
      <c r="J2" s="36" t="s">
        <v>168</v>
      </c>
      <c r="K2" s="37" t="s">
        <v>169</v>
      </c>
    </row>
    <row r="3" spans="1:11" ht="13.5" thickBot="1">
      <c r="B3" s="26" t="s">
        <v>44</v>
      </c>
      <c r="C3" s="27" t="s">
        <v>105</v>
      </c>
      <c r="D3" s="28" t="s">
        <v>105</v>
      </c>
      <c r="E3" s="29" t="s">
        <v>105</v>
      </c>
      <c r="F3" s="28" t="s">
        <v>106</v>
      </c>
      <c r="G3" s="28" t="s">
        <v>106</v>
      </c>
      <c r="H3" s="39" t="s">
        <v>106</v>
      </c>
      <c r="I3" s="28" t="s">
        <v>107</v>
      </c>
      <c r="J3" s="28" t="s">
        <v>107</v>
      </c>
      <c r="K3" s="29" t="s">
        <v>107</v>
      </c>
    </row>
    <row r="4" spans="1:11">
      <c r="A4" s="82" t="s">
        <v>23</v>
      </c>
      <c r="B4" s="12" t="s">
        <v>50</v>
      </c>
      <c r="C4" s="2">
        <f>IFERROR((s_DL)/(Doses!H2*s_IFAres_adj*s_Fin*s_Fi),".")</f>
        <v>2.4935064935064939E-3</v>
      </c>
      <c r="D4" s="3">
        <f>IFERROR((s_DL)/(Doses!J2*s_GSFa*s_Fin*s_Fi*s_ETres*(1/24)*s_EFres*(1/365)),".")</f>
        <v>15.927272727272729</v>
      </c>
      <c r="E4" s="5">
        <f t="shared" ref="E4" si="0">IFERROR(IF(AND(ISNUMBER(C4),ISNUMBER(D4)),(1/((1/C4)+(1/D4))),IF(AND(ISNUMBER(C4),NOT(ISNUMBER(D4))),(1/(1/C4)),IF(AND(NOT(ISNUMBER(C4)),ISNUMBER(D4)),(1/(1/D4)),"."))),".")</f>
        <v>2.4931161817754919E-3</v>
      </c>
      <c r="F4" s="3">
        <f t="shared" ref="F4:F5" si="1">IFERROR(C4/s_1_bq,".")</f>
        <v>9.2259740259740359E-5</v>
      </c>
      <c r="G4" s="3">
        <f t="shared" ref="G4:G5" si="2">IFERROR(D4/s_1_bq,".")</f>
        <v>0.58930909090909156</v>
      </c>
      <c r="H4" s="4">
        <f t="shared" ref="H4:H5" si="3">IFERROR(E4/s_1_bq,".")</f>
        <v>9.2245298725693293E-5</v>
      </c>
      <c r="I4" s="3">
        <f>IFERROR(C4*Isospec!C3*Isospec!F3*s_SSLcm_m,".")</f>
        <v>7.8545454545454558E-15</v>
      </c>
      <c r="J4" s="3">
        <f>IFERROR(D4*Isospec!C3*Isospec!F3*s_SSLcm_m,".")</f>
        <v>5.0170909090909108E-11</v>
      </c>
      <c r="K4" s="5">
        <f>IFERROR(E4*Isospec!C3*Isospec!F3*s_SSLcm_m,".")</f>
        <v>7.8533159725927999E-15</v>
      </c>
    </row>
    <row r="5" spans="1:11">
      <c r="A5" s="83" t="s">
        <v>14</v>
      </c>
      <c r="B5" s="12" t="s">
        <v>44</v>
      </c>
      <c r="C5" s="2">
        <f>IFERROR((s_DL)/(Doses!H3*s_IFAres_adj*s_Fin*s_Fi),".")</f>
        <v>2.4935064935064939E-3</v>
      </c>
      <c r="D5" s="3">
        <f>IFERROR((s_DL)/(Doses!J3*s_GSFa*s_Fin*s_Fi*s_ETres*(1/24)*s_EFres*(1/365)),".")</f>
        <v>15.927272727272729</v>
      </c>
      <c r="E5" s="5">
        <f>IFERROR(IF(AND(ISNUMBER(C5),ISNUMBER(D5)),(1/((1/C5)+(1/D5))),IF(AND(ISNUMBER(C5),NOT(ISNUMBER(D5))),(1/(1/C5)),IF(AND(NOT(ISNUMBER(C5)),ISNUMBER(D5)),(1/(1/D5)),"."))),".")</f>
        <v>2.4931161817754919E-3</v>
      </c>
      <c r="F5" s="3">
        <f t="shared" si="1"/>
        <v>9.2259740259740359E-5</v>
      </c>
      <c r="G5" s="3">
        <f t="shared" si="2"/>
        <v>0.58930909090909156</v>
      </c>
      <c r="H5" s="4">
        <f t="shared" si="3"/>
        <v>9.2245298725693293E-5</v>
      </c>
      <c r="I5" s="3">
        <f>IFERROR(C5*Isospec!C4*Isospec!F4*s_SSLcm_m,".")</f>
        <v>8.4130909090909098E-15</v>
      </c>
      <c r="J5" s="3">
        <f>IFERROR(D5*Isospec!C4*Isospec!F4*s_SSLcm_m,".")</f>
        <v>5.3738618181818193E-11</v>
      </c>
      <c r="K5" s="5">
        <f>IFERROR(E5*Isospec!C4*Isospec!F4*s_SSLcm_m,".")</f>
        <v>8.4117739973105096E-15</v>
      </c>
    </row>
    <row r="6" spans="1:11">
      <c r="A6" s="82" t="s">
        <v>15</v>
      </c>
      <c r="B6" s="12" t="s">
        <v>50</v>
      </c>
      <c r="C6" s="2">
        <f>IFERROR((s_DL)/(Doses!H4*s_IFAres_adj*s_Fin*s_Fi),".")</f>
        <v>2.4935064935064939E-3</v>
      </c>
      <c r="D6" s="3">
        <f>IFERROR((s_DL)/(Doses!J4*s_GSFa*s_Fin*s_Fi*s_ETres*(1/24)*s_EFres*(1/365)),".")</f>
        <v>15.927272727272729</v>
      </c>
      <c r="E6" s="5">
        <f t="shared" ref="E6:E7" si="4">IFERROR(IF(AND(ISNUMBER(C6),ISNUMBER(D6)),(1/((1/C6)+(1/D6))),IF(AND(ISNUMBER(C6),NOT(ISNUMBER(D6))),(1/(1/C6)),IF(AND(NOT(ISNUMBER(C6)),ISNUMBER(D6)),(1/(1/D6)),"."))),".")</f>
        <v>2.4931161817754919E-3</v>
      </c>
      <c r="F6" s="3">
        <f t="shared" ref="F6:F8" si="5">IFERROR(C6/s_1_bq,".")</f>
        <v>9.2259740259740359E-5</v>
      </c>
      <c r="G6" s="3">
        <f t="shared" ref="G6:G8" si="6">IFERROR(D6/s_1_bq,".")</f>
        <v>0.58930909090909156</v>
      </c>
      <c r="H6" s="4">
        <f t="shared" ref="H6:H8" si="7">IFERROR(E6/s_1_bq,".")</f>
        <v>9.2245298725693293E-5</v>
      </c>
      <c r="I6" s="3">
        <f>IFERROR(C6*Isospec!C5*Isospec!F5*s_SSLcm_m,".")</f>
        <v>7.5752727272727296E-15</v>
      </c>
      <c r="J6" s="3">
        <f>IFERROR(D6*Isospec!C5*Isospec!F5*s_SSLcm_m,".")</f>
        <v>4.8387054545454553E-11</v>
      </c>
      <c r="K6" s="5">
        <f>IFERROR(E6*Isospec!C5*Isospec!F5*s_SSLcm_m,".")</f>
        <v>7.5740869602339451E-15</v>
      </c>
    </row>
    <row r="7" spans="1:11">
      <c r="A7" s="82" t="s">
        <v>16</v>
      </c>
      <c r="B7" s="84" t="s">
        <v>50</v>
      </c>
      <c r="C7" s="2">
        <f>IFERROR((s_DL)/(Doses!H5*s_IFAres_adj*s_Fin*s_Fi),".")</f>
        <v>2.4935064935064939E-3</v>
      </c>
      <c r="D7" s="3">
        <f>IFERROR((s_DL)/(Doses!J5*s_GSFa*s_Fin*s_Fi*s_ETres*(1/24)*s_EFres*(1/365)),".")</f>
        <v>15.927272727272729</v>
      </c>
      <c r="E7" s="5">
        <f t="shared" si="4"/>
        <v>2.4931161817754919E-3</v>
      </c>
      <c r="F7" s="3">
        <f t="shared" si="5"/>
        <v>9.2259740259740359E-5</v>
      </c>
      <c r="G7" s="3">
        <f t="shared" si="6"/>
        <v>0.58930909090909156</v>
      </c>
      <c r="H7" s="4">
        <f t="shared" si="7"/>
        <v>9.2245298725693293E-5</v>
      </c>
      <c r="I7" s="3">
        <f>IFERROR(C7*Isospec!C6*Isospec!F6*s_SSLcm_m,".")</f>
        <v>7.6101818181818198E-15</v>
      </c>
      <c r="J7" s="3">
        <f>IFERROR(D7*Isospec!C6*Isospec!F6*s_SSLcm_m,".")</f>
        <v>4.8610036363636374E-11</v>
      </c>
      <c r="K7" s="5">
        <f>IFERROR(E7*Isospec!C6*Isospec!F6*s_SSLcm_m,".")</f>
        <v>7.6089905867788022E-15</v>
      </c>
    </row>
    <row r="8" spans="1:11">
      <c r="A8" s="82" t="s">
        <v>18</v>
      </c>
      <c r="B8" s="12" t="s">
        <v>50</v>
      </c>
      <c r="C8" s="2">
        <f>IFERROR((s_DL)/(Doses!H6*s_IFAres_adj*s_Fin*s_Fi),".")</f>
        <v>2.4935064935064939E-3</v>
      </c>
      <c r="D8" s="3">
        <f>IFERROR((s_DL)/(Doses!J6*s_GSFa*s_Fin*s_Fi*s_ETres*(1/24)*s_EFres*(1/365)),".")</f>
        <v>15.927272727272729</v>
      </c>
      <c r="E8" s="5">
        <f t="shared" ref="E8:E11" si="8">IFERROR(IF(AND(ISNUMBER(C8),ISNUMBER(D8)),(1/((1/C8)+(1/D8))),IF(AND(ISNUMBER(C8),NOT(ISNUMBER(D8))),(1/(1/C8)),IF(AND(NOT(ISNUMBER(C8)),ISNUMBER(D8)),(1/(1/D8)),"."))),".")</f>
        <v>2.4931161817754919E-3</v>
      </c>
      <c r="F8" s="3">
        <f t="shared" si="5"/>
        <v>9.2259740259740359E-5</v>
      </c>
      <c r="G8" s="3">
        <f t="shared" si="6"/>
        <v>0.58930909090909156</v>
      </c>
      <c r="H8" s="4">
        <f t="shared" si="7"/>
        <v>9.2245298725693293E-5</v>
      </c>
      <c r="I8" s="3">
        <f>IFERROR(C8*Isospec!C7*Isospec!F7*s_SSLcm_m,".")</f>
        <v>4.7825454545454556E-15</v>
      </c>
      <c r="J8" s="3">
        <f>IFERROR(D8*Isospec!C7*Isospec!F7*s_SSLcm_m,".")</f>
        <v>3.05485090909091E-11</v>
      </c>
      <c r="K8" s="5">
        <f>IFERROR(E8*Isospec!C7*Isospec!F7*s_SSLcm_m,".")</f>
        <v>4.7817968366453937E-15</v>
      </c>
    </row>
    <row r="9" spans="1:11">
      <c r="A9" s="82" t="s">
        <v>19</v>
      </c>
      <c r="B9" s="85" t="s">
        <v>50</v>
      </c>
      <c r="C9" s="2">
        <f>IFERROR((s_DL)/(Doses!H7*s_IFAres_adj*s_Fin*s_Fi),".")</f>
        <v>2.4935064935064939E-3</v>
      </c>
      <c r="D9" s="3">
        <f>IFERROR((s_DL)/(Doses!J7*s_GSFa*s_Fin*s_Fi*s_ETres*(1/24)*s_EFres*(1/365)),".")</f>
        <v>15.927272727272729</v>
      </c>
      <c r="E9" s="5">
        <f t="shared" si="8"/>
        <v>2.4931161817754919E-3</v>
      </c>
      <c r="F9" s="3">
        <f t="shared" ref="F9:F11" si="9">IFERROR(C9/s_1_bq,".")</f>
        <v>9.2259740259740359E-5</v>
      </c>
      <c r="G9" s="3">
        <f t="shared" ref="G9:G11" si="10">IFERROR(D9/s_1_bq,".")</f>
        <v>0.58930909090909156</v>
      </c>
      <c r="H9" s="4">
        <f t="shared" ref="H9:H11" si="11">IFERROR(E9/s_1_bq,".")</f>
        <v>9.2245298725693293E-5</v>
      </c>
      <c r="I9" s="3">
        <f>IFERROR(C9*Isospec!C8*Isospec!F8*s_SSLcm_m,".")</f>
        <v>7.330909090909092E-15</v>
      </c>
      <c r="J9" s="3">
        <f>IFERROR(D9*Isospec!C8*Isospec!F8*s_SSLcm_m,".")</f>
        <v>4.6826181818181831E-11</v>
      </c>
      <c r="K9" s="5">
        <f>IFERROR(E9*Isospec!C8*Isospec!F8*s_SSLcm_m,".")</f>
        <v>7.3297615744199458E-15</v>
      </c>
    </row>
    <row r="10" spans="1:11">
      <c r="A10" s="82" t="s">
        <v>20</v>
      </c>
      <c r="B10" s="12" t="s">
        <v>50</v>
      </c>
      <c r="C10" s="2">
        <f>IFERROR((s_DL)/(Doses!H8*s_IFAres_adj*s_Fin*s_Fi),".")</f>
        <v>2.4935064935064939E-3</v>
      </c>
      <c r="D10" s="3">
        <f>IFERROR((s_DL)/(Doses!J8*s_GSFa*s_Fin*s_Fi*s_ETres*(1/24)*s_EFres*(1/365)),".")</f>
        <v>15.927272727272729</v>
      </c>
      <c r="E10" s="5">
        <f t="shared" si="8"/>
        <v>2.4931161817754919E-3</v>
      </c>
      <c r="F10" s="3">
        <f t="shared" si="9"/>
        <v>9.2259740259740359E-5</v>
      </c>
      <c r="G10" s="3">
        <f t="shared" si="10"/>
        <v>0.58930909090909156</v>
      </c>
      <c r="H10" s="4">
        <f t="shared" si="11"/>
        <v>9.2245298725693293E-5</v>
      </c>
      <c r="I10" s="3">
        <f>IFERROR(C10*Isospec!C9*Isospec!F9*s_SSLcm_m,".")</f>
        <v>7.4356363636363657E-15</v>
      </c>
      <c r="J10" s="3">
        <f>IFERROR(D10*Isospec!C9*Isospec!F9*s_SSLcm_m,".")</f>
        <v>4.7495127272727292E-11</v>
      </c>
      <c r="K10" s="5">
        <f>IFERROR(E10*Isospec!C9*Isospec!F9*s_SSLcm_m,".")</f>
        <v>7.4344724540545169E-15</v>
      </c>
    </row>
    <row r="11" spans="1:11">
      <c r="A11" s="82" t="s">
        <v>21</v>
      </c>
      <c r="B11" s="85" t="s">
        <v>50</v>
      </c>
      <c r="C11" s="2">
        <f>IFERROR((s_DL)/(Doses!H9*s_IFAres_adj*s_Fin*s_Fi),".")</f>
        <v>2.4935064935064939E-3</v>
      </c>
      <c r="D11" s="3">
        <f>IFERROR((s_DL)/(Doses!J9*s_GSFa*s_Fin*s_Fi*s_ETres*(1/24)*s_EFres*(1/365)),".")</f>
        <v>15.927272727272729</v>
      </c>
      <c r="E11" s="5">
        <f t="shared" si="8"/>
        <v>2.4931161817754919E-3</v>
      </c>
      <c r="F11" s="3">
        <f t="shared" si="9"/>
        <v>9.2259740259740359E-5</v>
      </c>
      <c r="G11" s="3">
        <f t="shared" si="10"/>
        <v>0.58930909090909156</v>
      </c>
      <c r="H11" s="4">
        <f t="shared" si="11"/>
        <v>9.2245298725693293E-5</v>
      </c>
      <c r="I11" s="3">
        <f>IFERROR(C11*Isospec!C10*Isospec!F10*s_SSLcm_m,".")</f>
        <v>7.4705454545454559E-15</v>
      </c>
      <c r="J11" s="3">
        <f>IFERROR(D11*Isospec!C10*Isospec!F10*s_SSLcm_m,".")</f>
        <v>4.7718109090909106E-11</v>
      </c>
      <c r="K11" s="5">
        <f>IFERROR(E11*Isospec!C10*Isospec!F10*s_SSLcm_m,".")</f>
        <v>7.469376080599374E-15</v>
      </c>
    </row>
    <row r="12" spans="1:11">
      <c r="A12" s="83" t="s">
        <v>17</v>
      </c>
      <c r="B12" s="12" t="s">
        <v>44</v>
      </c>
      <c r="C12" s="2">
        <f>IFERROR((s_DL)/(Doses!H10*s_IFAres_adj*s_Fin*s_Fi),".")</f>
        <v>2.4935064935064939E-3</v>
      </c>
      <c r="D12" s="3">
        <f>IFERROR((s_DL)/(Doses!J10*s_GSFa*s_Fin*s_Fi*s_ETres*(1/24)*s_EFres*(1/365)),".")</f>
        <v>15.927272727272729</v>
      </c>
      <c r="E12" s="5">
        <f t="shared" ref="E12" si="12">IFERROR(IF(AND(ISNUMBER(C12),ISNUMBER(D12)),(1/((1/C12)+(1/D12))),IF(AND(ISNUMBER(C12),NOT(ISNUMBER(D12))),(1/(1/C12)),IF(AND(NOT(ISNUMBER(C12)),ISNUMBER(D12)),(1/(1/D12)),"."))),".")</f>
        <v>2.4931161817754919E-3</v>
      </c>
      <c r="F12" s="3">
        <f t="shared" ref="F12" si="13">IFERROR(C12/s_1_bq,".")</f>
        <v>9.2259740259740359E-5</v>
      </c>
      <c r="G12" s="3">
        <f t="shared" ref="G12" si="14">IFERROR(D12/s_1_bq,".")</f>
        <v>0.58930909090909156</v>
      </c>
      <c r="H12" s="4">
        <f t="shared" ref="H12" si="15">IFERROR(E12/s_1_bq,".")</f>
        <v>9.2245298725693293E-5</v>
      </c>
      <c r="I12" s="3">
        <f>IFERROR(C12*Isospec!C11*Isospec!F11*s_SSLcm_m,".")</f>
        <v>4.7825454545454556E-15</v>
      </c>
      <c r="J12" s="3">
        <f>IFERROR(D12*Isospec!C11*Isospec!F11*s_SSLcm_m,".")</f>
        <v>3.05485090909091E-11</v>
      </c>
      <c r="K12" s="5">
        <f>IFERROR(E12*Isospec!C11*Isospec!F11*s_SSLcm_m,".")</f>
        <v>4.7817968366453937E-15</v>
      </c>
    </row>
    <row r="13" spans="1:11">
      <c r="A13" s="82" t="s">
        <v>24</v>
      </c>
      <c r="B13" s="12" t="s">
        <v>50</v>
      </c>
      <c r="C13" s="2">
        <f>IFERROR((s_DL)/(Doses!H11*s_IFAres_adj*s_Fin*s_Fi),".")</f>
        <v>2.4935064935064939E-3</v>
      </c>
      <c r="D13" s="3">
        <f>IFERROR((s_DL)/(Doses!J11*s_GSFa*s_Fin*s_Fi*s_ETres*(1/24)*s_EFres*(1/365)),".")</f>
        <v>15.927272727272729</v>
      </c>
      <c r="E13" s="5">
        <f t="shared" ref="E13" si="16">IFERROR(IF(AND(ISNUMBER(C13),ISNUMBER(D13)),(1/((1/C13)+(1/D13))),IF(AND(ISNUMBER(C13),NOT(ISNUMBER(D13))),(1/(1/C13)),IF(AND(NOT(ISNUMBER(C13)),ISNUMBER(D13)),(1/(1/D13)),"."))),".")</f>
        <v>2.4931161817754919E-3</v>
      </c>
      <c r="F13" s="3">
        <f t="shared" ref="F13" si="17">IFERROR(C13/s_1_bq,".")</f>
        <v>9.2259740259740359E-5</v>
      </c>
      <c r="G13" s="3">
        <f t="shared" ref="G13" si="18">IFERROR(D13/s_1_bq,".")</f>
        <v>0.58930909090909156</v>
      </c>
      <c r="H13" s="4">
        <f t="shared" ref="H13" si="19">IFERROR(E13/s_1_bq,".")</f>
        <v>9.2245298725693293E-5</v>
      </c>
      <c r="I13" s="3">
        <f>IFERROR(C13*Isospec!C12*Isospec!F12*s_SSLcm_m,".")</f>
        <v>7.7149090909090919E-15</v>
      </c>
      <c r="J13" s="3">
        <f>IFERROR(D13*Isospec!C12*Isospec!F12*s_SSLcm_m,".")</f>
        <v>4.9278981818181834E-11</v>
      </c>
      <c r="K13" s="5">
        <f>IFERROR(E13*Isospec!C12*Isospec!F12*s_SSLcm_m,".")</f>
        <v>7.7137014664133717E-15</v>
      </c>
    </row>
    <row r="14" spans="1:11">
      <c r="A14" s="82" t="s">
        <v>22</v>
      </c>
      <c r="B14" s="84" t="s">
        <v>50</v>
      </c>
      <c r="C14" s="2">
        <f>IFERROR((s_DL)/(Doses!H12*s_IFAres_adj*s_Fin*s_Fi),".")</f>
        <v>2.4935064935064939E-3</v>
      </c>
      <c r="D14" s="3">
        <f>IFERROR((s_DL)/(Doses!J12*s_GSFa*s_Fin*s_Fi*s_ETres*(1/24)*s_EFres*(1/365)),".")</f>
        <v>15.927272727272729</v>
      </c>
      <c r="E14" s="5">
        <f t="shared" ref="E14" si="20">IFERROR(IF(AND(ISNUMBER(C14),ISNUMBER(D14)),(1/((1/C14)+(1/D14))),IF(AND(ISNUMBER(C14),NOT(ISNUMBER(D14))),(1/(1/C14)),IF(AND(NOT(ISNUMBER(C14)),ISNUMBER(D14)),(1/(1/D14)),"."))),".")</f>
        <v>2.4931161817754919E-3</v>
      </c>
      <c r="F14" s="3">
        <f t="shared" ref="F14" si="21">IFERROR(C14/s_1_bq,".")</f>
        <v>9.2259740259740359E-5</v>
      </c>
      <c r="G14" s="3">
        <f t="shared" ref="G14" si="22">IFERROR(D14/s_1_bq,".")</f>
        <v>0.58930909090909156</v>
      </c>
      <c r="H14" s="4">
        <f t="shared" ref="H14" si="23">IFERROR(E14/s_1_bq,".")</f>
        <v>9.2245298725693293E-5</v>
      </c>
      <c r="I14" s="3">
        <f>IFERROR(C14*Isospec!C13*Isospec!F13*s_SSLcm_m,".")</f>
        <v>7.1912727272727281E-15</v>
      </c>
      <c r="J14" s="3">
        <f>IFERROR(D14*Isospec!C13*Isospec!F13*s_SSLcm_m,".")</f>
        <v>4.5934254545454557E-11</v>
      </c>
      <c r="K14" s="5">
        <f>IFERROR(E14*Isospec!C13*Isospec!F13*s_SSLcm_m,".")</f>
        <v>7.1901470682405191E-15</v>
      </c>
    </row>
    <row r="15" spans="1:11">
      <c r="A15" s="82" t="s">
        <v>28</v>
      </c>
      <c r="B15" s="12" t="s">
        <v>50</v>
      </c>
      <c r="C15" s="2">
        <f>IFERROR((s_DL)/(Doses!H13*s_IFAres_adj*s_Fin*s_Fi),".")</f>
        <v>2.4935064935064939E-3</v>
      </c>
      <c r="D15" s="3">
        <f>IFERROR((s_DL)/(Doses!J13*s_GSFa*s_Fin*s_Fi*s_ETres*(1/24)*s_EFres*(1/365)),".")</f>
        <v>15.927272727272729</v>
      </c>
      <c r="E15" s="5">
        <f t="shared" ref="E15:E16" si="24">IFERROR(IF(AND(ISNUMBER(C15),ISNUMBER(D15)),(1/((1/C15)+(1/D15))),IF(AND(ISNUMBER(C15),NOT(ISNUMBER(D15))),(1/(1/C15)),IF(AND(NOT(ISNUMBER(C15)),ISNUMBER(D15)),(1/(1/D15)),"."))),".")</f>
        <v>2.4931161817754919E-3</v>
      </c>
      <c r="F15" s="3">
        <f t="shared" ref="F15:F16" si="25">IFERROR(C15/s_1_bq,".")</f>
        <v>9.2259740259740359E-5</v>
      </c>
      <c r="G15" s="3">
        <f t="shared" ref="G15:G16" si="26">IFERROR(D15/s_1_bq,".")</f>
        <v>0.58930909090909156</v>
      </c>
      <c r="H15" s="4">
        <f t="shared" ref="H15:H16" si="27">IFERROR(E15/s_1_bq,".")</f>
        <v>9.2245298725693293E-5</v>
      </c>
      <c r="I15" s="3">
        <f>IFERROR(C15*Isospec!C14*Isospec!F14*s_SSLcm_m,".")</f>
        <v>8.2734545454545475E-15</v>
      </c>
      <c r="J15" s="3">
        <f>IFERROR(D15*Isospec!C14*Isospec!F14*s_SSLcm_m,".")</f>
        <v>5.2846690909090925E-11</v>
      </c>
      <c r="K15" s="5">
        <f>IFERROR(E15*Isospec!C14*Isospec!F14*s_SSLcm_m,".")</f>
        <v>8.272159491131083E-15</v>
      </c>
    </row>
    <row r="16" spans="1:11">
      <c r="A16" s="82" t="s">
        <v>29</v>
      </c>
      <c r="B16" s="12" t="s">
        <v>50</v>
      </c>
      <c r="C16" s="2">
        <f>IFERROR((s_DL)/(Doses!H14*s_IFAres_adj*s_Fin*s_Fi),".")</f>
        <v>2.4935064935064939E-3</v>
      </c>
      <c r="D16" s="3">
        <f>IFERROR((s_DL)/(Doses!J14*s_GSFa*s_Fin*s_Fi*s_ETres*(1/24)*s_EFres*(1/365)),".")</f>
        <v>15.927272727272729</v>
      </c>
      <c r="E16" s="5">
        <f t="shared" si="24"/>
        <v>2.4931161817754919E-3</v>
      </c>
      <c r="F16" s="3">
        <f t="shared" si="25"/>
        <v>9.2259740259740359E-5</v>
      </c>
      <c r="G16" s="3">
        <f t="shared" si="26"/>
        <v>0.58930909090909156</v>
      </c>
      <c r="H16" s="4">
        <f t="shared" si="27"/>
        <v>9.2245298725693293E-5</v>
      </c>
      <c r="I16" s="3">
        <f>IFERROR(C16*Isospec!C15*Isospec!F15*s_SSLcm_m,".")</f>
        <v>8.1338181818181836E-15</v>
      </c>
      <c r="J16" s="3">
        <f>IFERROR(D16*Isospec!C15*Isospec!F15*s_SSLcm_m,".")</f>
        <v>5.195476363636365E-11</v>
      </c>
      <c r="K16" s="5">
        <f>IFERROR(E16*Isospec!C15*Isospec!F15*s_SSLcm_m,".")</f>
        <v>8.1325449849516548E-15</v>
      </c>
    </row>
    <row r="17" spans="1:11">
      <c r="A17" s="82" t="s">
        <v>32</v>
      </c>
      <c r="B17" s="12" t="s">
        <v>50</v>
      </c>
      <c r="C17" s="2">
        <f>IFERROR((s_DL)/(Doses!H15*s_IFAres_adj*s_Fin*s_Fi),".")</f>
        <v>2.4935064935064939E-3</v>
      </c>
      <c r="D17" s="3">
        <f>IFERROR((s_DL)/(Doses!J15*s_GSFa*s_Fin*s_Fi*s_ETres*(1/24)*s_EFres*(1/365)),".")</f>
        <v>15.927272727272729</v>
      </c>
      <c r="E17" s="5">
        <f t="shared" ref="E17:E20" si="28">IFERROR(IF(AND(ISNUMBER(C17),ISNUMBER(D17)),(1/((1/C17)+(1/D17))),IF(AND(ISNUMBER(C17),NOT(ISNUMBER(D17))),(1/(1/C17)),IF(AND(NOT(ISNUMBER(C17)),ISNUMBER(D17)),(1/(1/D17)),"."))),".")</f>
        <v>2.4931161817754919E-3</v>
      </c>
      <c r="F17" s="3">
        <f t="shared" ref="F17:F23" si="29">IFERROR(C17/s_1_bq,".")</f>
        <v>9.2259740259740359E-5</v>
      </c>
      <c r="G17" s="3">
        <f t="shared" ref="G17:G23" si="30">IFERROR(D17/s_1_bq,".")</f>
        <v>0.58930909090909156</v>
      </c>
      <c r="H17" s="4">
        <f t="shared" ref="H17:H23" si="31">IFERROR(E17/s_1_bq,".")</f>
        <v>9.2245298725693293E-5</v>
      </c>
      <c r="I17" s="3">
        <f>IFERROR(C17*Isospec!C16*Isospec!F16*s_SSLcm_m,".")</f>
        <v>7.2960000000000002E-15</v>
      </c>
      <c r="J17" s="3">
        <f>IFERROR(D17*Isospec!C16*Isospec!F16*s_SSLcm_m,".")</f>
        <v>4.6603200000000011E-11</v>
      </c>
      <c r="K17" s="5">
        <f>IFERROR(E17*Isospec!C16*Isospec!F16*s_SSLcm_m,".")</f>
        <v>7.2948579478750903E-15</v>
      </c>
    </row>
    <row r="18" spans="1:11">
      <c r="A18" s="82" t="s">
        <v>33</v>
      </c>
      <c r="B18" s="85" t="s">
        <v>50</v>
      </c>
      <c r="C18" s="2">
        <f>IFERROR((s_DL)/(Doses!H16*s_IFAres_adj*s_Fin*s_Fi),".")</f>
        <v>2.4935064935064939E-3</v>
      </c>
      <c r="D18" s="3">
        <f>IFERROR((s_DL)/(Doses!J16*s_GSFa*s_Fin*s_Fi*s_ETres*(1/24)*s_EFres*(1/365)),".")</f>
        <v>15.927272727272729</v>
      </c>
      <c r="E18" s="5">
        <f t="shared" si="28"/>
        <v>2.4931161817754919E-3</v>
      </c>
      <c r="F18" s="3">
        <f t="shared" si="29"/>
        <v>9.2259740259740359E-5</v>
      </c>
      <c r="G18" s="3">
        <f t="shared" si="30"/>
        <v>0.58930909090909156</v>
      </c>
      <c r="H18" s="4">
        <f t="shared" si="31"/>
        <v>9.2245298725693293E-5</v>
      </c>
      <c r="I18" s="3">
        <f>IFERROR(C18*Isospec!C17*Isospec!F17*s_SSLcm_m,".")</f>
        <v>7.330909090909092E-15</v>
      </c>
      <c r="J18" s="3">
        <f>IFERROR(D18*Isospec!C17*Isospec!F17*s_SSLcm_m,".")</f>
        <v>4.6826181818181831E-11</v>
      </c>
      <c r="K18" s="5">
        <f>IFERROR(E18*Isospec!C17*Isospec!F17*s_SSLcm_m,".")</f>
        <v>7.3297615744199458E-15</v>
      </c>
    </row>
    <row r="19" spans="1:11">
      <c r="A19" s="82" t="s">
        <v>34</v>
      </c>
      <c r="B19" s="85" t="s">
        <v>50</v>
      </c>
      <c r="C19" s="2">
        <f>IFERROR((s_DL)/(Doses!H17*s_IFAres_adj*s_Fin*s_Fi),".")</f>
        <v>2.4935064935064939E-3</v>
      </c>
      <c r="D19" s="3">
        <f>IFERROR((s_DL)/(Doses!J17*s_GSFa*s_Fin*s_Fi*s_ETres*(1/24)*s_EFres*(1/365)),".")</f>
        <v>15.927272727272729</v>
      </c>
      <c r="E19" s="5">
        <f t="shared" si="28"/>
        <v>2.4931161817754919E-3</v>
      </c>
      <c r="F19" s="3">
        <f t="shared" si="29"/>
        <v>9.2259740259740359E-5</v>
      </c>
      <c r="G19" s="3">
        <f t="shared" si="30"/>
        <v>0.58930909090909156</v>
      </c>
      <c r="H19" s="4">
        <f t="shared" si="31"/>
        <v>9.2245298725693293E-5</v>
      </c>
      <c r="I19" s="3">
        <f>IFERROR(C19*Isospec!C18*Isospec!F18*s_SSLcm_m,".")</f>
        <v>7.4705454545454559E-15</v>
      </c>
      <c r="J19" s="3">
        <f>IFERROR(D19*Isospec!C18*Isospec!F18*s_SSLcm_m,".")</f>
        <v>4.7718109090909106E-11</v>
      </c>
      <c r="K19" s="5">
        <f>IFERROR(E19*Isospec!C18*Isospec!F18*s_SSLcm_m,".")</f>
        <v>7.469376080599374E-15</v>
      </c>
    </row>
    <row r="20" spans="1:11">
      <c r="A20" s="82" t="s">
        <v>36</v>
      </c>
      <c r="B20" s="85" t="s">
        <v>50</v>
      </c>
      <c r="C20" s="2">
        <f>IFERROR((s_DL)/(Doses!H18*s_IFAres_adj*s_Fin*s_Fi),".")</f>
        <v>2.4935064935064939E-3</v>
      </c>
      <c r="D20" s="3">
        <f>IFERROR((s_DL)/(Doses!J18*s_GSFa*s_Fin*s_Fi*s_ETres*(1/24)*s_EFres*(1/365)),".")</f>
        <v>15.927272727272729</v>
      </c>
      <c r="E20" s="5">
        <f t="shared" si="28"/>
        <v>2.4931161817754919E-3</v>
      </c>
      <c r="F20" s="3">
        <f t="shared" si="29"/>
        <v>9.2259740259740359E-5</v>
      </c>
      <c r="G20" s="3">
        <f t="shared" si="30"/>
        <v>0.58930909090909156</v>
      </c>
      <c r="H20" s="4">
        <f t="shared" si="31"/>
        <v>9.2245298725693293E-5</v>
      </c>
      <c r="I20" s="3">
        <f>IFERROR(C20*Isospec!C19*Isospec!F19*s_SSLcm_m,".")</f>
        <v>7.330909090909092E-15</v>
      </c>
      <c r="J20" s="3">
        <f>IFERROR(D20*Isospec!C19*Isospec!F19*s_SSLcm_m,".")</f>
        <v>4.6826181818181831E-11</v>
      </c>
      <c r="K20" s="5">
        <f>IFERROR(E20*Isospec!C19*Isospec!F19*s_SSLcm_m,".")</f>
        <v>7.3297615744199458E-15</v>
      </c>
    </row>
    <row r="21" spans="1:11">
      <c r="A21" s="82" t="s">
        <v>37</v>
      </c>
      <c r="B21" s="12" t="s">
        <v>50</v>
      </c>
      <c r="C21" s="2">
        <f>IFERROR((s_DL)/(Doses!H19*s_IFAres_adj*s_Fin*s_Fi),".")</f>
        <v>2.4935064935064939E-3</v>
      </c>
      <c r="D21" s="3">
        <f>IFERROR((s_DL)/(Doses!J19*s_GSFa*s_Fin*s_Fi*s_ETres*(1/24)*s_EFres*(1/365)),".")</f>
        <v>15.927272727272729</v>
      </c>
      <c r="E21" s="5">
        <f t="shared" ref="E21:E23" si="32">IFERROR(IF(AND(ISNUMBER(C21),ISNUMBER(D21)),(1/((1/C21)+(1/D21))),IF(AND(ISNUMBER(C21),NOT(ISNUMBER(D21))),(1/(1/C21)),IF(AND(NOT(ISNUMBER(C21)),ISNUMBER(D21)),(1/(1/D21)),"."))),".")</f>
        <v>2.4931161817754919E-3</v>
      </c>
      <c r="F21" s="3">
        <f t="shared" si="29"/>
        <v>9.2259740259740359E-5</v>
      </c>
      <c r="G21" s="3">
        <f t="shared" si="30"/>
        <v>0.58930909090909156</v>
      </c>
      <c r="H21" s="4">
        <f t="shared" si="31"/>
        <v>9.2245298725693293E-5</v>
      </c>
      <c r="I21" s="3">
        <f>IFERROR(C21*Isospec!C20*Isospec!F20*s_SSLcm_m,".")</f>
        <v>7.4356363636363657E-15</v>
      </c>
      <c r="J21" s="3">
        <f>IFERROR(D21*Isospec!C20*Isospec!F20*s_SSLcm_m,".")</f>
        <v>4.7495127272727292E-11</v>
      </c>
      <c r="K21" s="5">
        <f>IFERROR(E21*Isospec!C20*Isospec!F20*s_SSLcm_m,".")</f>
        <v>7.4344724540545169E-15</v>
      </c>
    </row>
    <row r="22" spans="1:11">
      <c r="A22" s="82" t="s">
        <v>38</v>
      </c>
      <c r="B22" s="85" t="s">
        <v>50</v>
      </c>
      <c r="C22" s="2">
        <f>IFERROR((s_DL)/(Doses!H20*s_IFAres_adj*s_Fin*s_Fi),".")</f>
        <v>2.4935064935064939E-3</v>
      </c>
      <c r="D22" s="3">
        <f>IFERROR((s_DL)/(Doses!J20*s_GSFa*s_Fin*s_Fi*s_ETres*(1/24)*s_EFres*(1/365)),".")</f>
        <v>15.927272727272729</v>
      </c>
      <c r="E22" s="5">
        <f t="shared" si="32"/>
        <v>2.4931161817754919E-3</v>
      </c>
      <c r="F22" s="3">
        <f t="shared" si="29"/>
        <v>9.2259740259740359E-5</v>
      </c>
      <c r="G22" s="3">
        <f t="shared" si="30"/>
        <v>0.58930909090909156</v>
      </c>
      <c r="H22" s="4">
        <f t="shared" si="31"/>
        <v>9.2245298725693293E-5</v>
      </c>
      <c r="I22" s="3">
        <f>IFERROR(C22*Isospec!C21*Isospec!F21*s_SSLcm_m,".")</f>
        <v>7.4705454545454559E-15</v>
      </c>
      <c r="J22" s="3">
        <f>IFERROR(D22*Isospec!C21*Isospec!F21*s_SSLcm_m,".")</f>
        <v>4.7718109090909106E-11</v>
      </c>
      <c r="K22" s="5">
        <f>IFERROR(E22*Isospec!C21*Isospec!F21*s_SSLcm_m,".")</f>
        <v>7.469376080599374E-15</v>
      </c>
    </row>
    <row r="23" spans="1:11">
      <c r="A23" s="82" t="s">
        <v>39</v>
      </c>
      <c r="B23" s="85" t="s">
        <v>50</v>
      </c>
      <c r="C23" s="2">
        <f>IFERROR((s_DL)/(Doses!H21*s_IFAres_adj*s_Fin*s_Fi),".")</f>
        <v>2.4935064935064939E-3</v>
      </c>
      <c r="D23" s="3">
        <f>IFERROR((s_DL)/(Doses!J21*s_GSFa*s_Fin*s_Fi*s_ETres*(1/24)*s_EFres*(1/365)),".")</f>
        <v>15.927272727272729</v>
      </c>
      <c r="E23" s="5">
        <f t="shared" si="32"/>
        <v>2.4931161817754919E-3</v>
      </c>
      <c r="F23" s="3">
        <f t="shared" si="29"/>
        <v>9.2259740259740359E-5</v>
      </c>
      <c r="G23" s="3">
        <f t="shared" si="30"/>
        <v>0.58930909090909156</v>
      </c>
      <c r="H23" s="4">
        <f t="shared" si="31"/>
        <v>9.2245298725693293E-5</v>
      </c>
      <c r="I23" s="3">
        <f>IFERROR(C23*Isospec!C22*Isospec!F22*s_SSLcm_m,".")</f>
        <v>7.6101818181818198E-15</v>
      </c>
      <c r="J23" s="3">
        <f>IFERROR(D23*Isospec!C22*Isospec!F22*s_SSLcm_m,".")</f>
        <v>4.8610036363636374E-11</v>
      </c>
      <c r="K23" s="5">
        <f>IFERROR(E23*Isospec!C22*Isospec!F22*s_SSLcm_m,".")</f>
        <v>7.6089905867788022E-15</v>
      </c>
    </row>
    <row r="24" spans="1:11">
      <c r="A24" s="82" t="s">
        <v>26</v>
      </c>
      <c r="B24" s="12" t="s">
        <v>50</v>
      </c>
      <c r="C24" s="2">
        <f>IFERROR((s_DL)/(Doses!H22*s_IFAres_adj*s_Fin*s_Fi),".")</f>
        <v>2.4935064935064939E-3</v>
      </c>
      <c r="D24" s="3">
        <f>IFERROR((s_DL)/(Doses!J22*s_GSFa*s_Fin*s_Fi*s_ETres*(1/24)*s_EFres*(1/365)),".")</f>
        <v>15.927272727272729</v>
      </c>
      <c r="E24" s="5">
        <f t="shared" ref="E24:E25" si="33">IFERROR(IF(AND(ISNUMBER(C24),ISNUMBER(D24)),(1/((1/C24)+(1/D24))),IF(AND(ISNUMBER(C24),NOT(ISNUMBER(D24))),(1/(1/C24)),IF(AND(NOT(ISNUMBER(C24)),ISNUMBER(D24)),(1/(1/D24)),"."))),".")</f>
        <v>2.4931161817754919E-3</v>
      </c>
      <c r="F24" s="3">
        <f t="shared" ref="F24:F25" si="34">IFERROR(C24/s_1_bq,".")</f>
        <v>9.2259740259740359E-5</v>
      </c>
      <c r="G24" s="3">
        <f t="shared" ref="G24:G25" si="35">IFERROR(D24/s_1_bq,".")</f>
        <v>0.58930909090909156</v>
      </c>
      <c r="H24" s="4">
        <f t="shared" ref="H24:H25" si="36">IFERROR(E24/s_1_bq,".")</f>
        <v>9.2245298725693293E-5</v>
      </c>
      <c r="I24" s="3">
        <f>IFERROR(C24*Isospec!C23*Isospec!F23*s_SSLcm_m,".")</f>
        <v>7.8545454545454558E-15</v>
      </c>
      <c r="J24" s="3">
        <f>IFERROR(D24*Isospec!C23*Isospec!F23*s_SSLcm_m,".")</f>
        <v>5.0170909090909108E-11</v>
      </c>
      <c r="K24" s="5">
        <f>IFERROR(E24*Isospec!C23*Isospec!F23*s_SSLcm_m,".")</f>
        <v>7.8533159725927999E-15</v>
      </c>
    </row>
    <row r="25" spans="1:11">
      <c r="A25" s="83" t="s">
        <v>27</v>
      </c>
      <c r="B25" s="85" t="s">
        <v>44</v>
      </c>
      <c r="C25" s="2">
        <f>IFERROR((s_DL)/(Doses!H23*s_IFAres_adj*s_Fin*s_Fi),".")</f>
        <v>2.4935064935064939E-3</v>
      </c>
      <c r="D25" s="3">
        <f>IFERROR((s_DL)/(Doses!J23*s_GSFa*s_Fin*s_Fi*s_ETres*(1/24)*s_EFres*(1/365)),".")</f>
        <v>15.927272727272729</v>
      </c>
      <c r="E25" s="5">
        <f t="shared" si="33"/>
        <v>2.4931161817754919E-3</v>
      </c>
      <c r="F25" s="3">
        <f t="shared" si="34"/>
        <v>9.2259740259740359E-5</v>
      </c>
      <c r="G25" s="3">
        <f t="shared" si="35"/>
        <v>0.58930909090909156</v>
      </c>
      <c r="H25" s="4">
        <f t="shared" si="36"/>
        <v>9.2245298725693293E-5</v>
      </c>
      <c r="I25" s="3">
        <f>IFERROR(C25*Isospec!C24*Isospec!F24*s_SSLcm_m,".")</f>
        <v>7.889454545454546E-15</v>
      </c>
      <c r="J25" s="3">
        <f>IFERROR(D25*Isospec!C24*Isospec!F24*s_SSLcm_m,".")</f>
        <v>5.0393890909090929E-11</v>
      </c>
      <c r="K25" s="5">
        <f>IFERROR(E25*Isospec!C24*Isospec!F24*s_SSLcm_m,".")</f>
        <v>7.888219599137657E-15</v>
      </c>
    </row>
    <row r="26" spans="1:11">
      <c r="A26" s="82" t="s">
        <v>30</v>
      </c>
      <c r="B26" s="85" t="s">
        <v>50</v>
      </c>
      <c r="C26" s="2">
        <f>IFERROR((s_DL)/(Doses!H24*s_IFAres_adj*s_Fin*s_Fi),".")</f>
        <v>2.4935064935064939E-3</v>
      </c>
      <c r="D26" s="3">
        <f>IFERROR((s_DL)/(Doses!J24*s_GSFa*s_Fin*s_Fi*s_ETres*(1/24)*s_EFres*(1/365)),".")</f>
        <v>15.927272727272729</v>
      </c>
      <c r="E26" s="5">
        <f t="shared" ref="E26:E27" si="37">IFERROR(IF(AND(ISNUMBER(C26),ISNUMBER(D26)),(1/((1/C26)+(1/D26))),IF(AND(ISNUMBER(C26),NOT(ISNUMBER(D26))),(1/(1/C26)),IF(AND(NOT(ISNUMBER(C26)),ISNUMBER(D26)),(1/(1/D26)),"."))),".")</f>
        <v>2.4931161817754919E-3</v>
      </c>
      <c r="F26" s="3">
        <f t="shared" ref="F26" si="38">IFERROR(C26/s_1_bq,".")</f>
        <v>9.2259740259740359E-5</v>
      </c>
      <c r="G26" s="3">
        <f t="shared" ref="G26" si="39">IFERROR(D26/s_1_bq,".")</f>
        <v>0.58930909090909156</v>
      </c>
      <c r="H26" s="4">
        <f t="shared" ref="H26" si="40">IFERROR(E26/s_1_bq,".")</f>
        <v>9.2245298725693293E-5</v>
      </c>
      <c r="I26" s="3">
        <f>IFERROR(C26*Isospec!C25*Isospec!F25*s_SSLcm_m,".")</f>
        <v>7.6101818181818198E-15</v>
      </c>
      <c r="J26" s="3">
        <f>IFERROR(D26*Isospec!C25*Isospec!F25*s_SSLcm_m,".")</f>
        <v>4.8610036363636374E-11</v>
      </c>
      <c r="K26" s="5">
        <f>IFERROR(E26*Isospec!C25*Isospec!F25*s_SSLcm_m,".")</f>
        <v>7.6089905867788022E-15</v>
      </c>
    </row>
    <row r="27" spans="1:11">
      <c r="A27" s="83" t="s">
        <v>31</v>
      </c>
      <c r="B27" s="85" t="s">
        <v>44</v>
      </c>
      <c r="C27" s="2">
        <f>IFERROR((s_DL)/(Doses!H25*s_IFAres_adj*s_Fin*s_Fi),".")</f>
        <v>2.4935064935064939E-3</v>
      </c>
      <c r="D27" s="3">
        <f>IFERROR((s_DL)/(Doses!J25*s_GSFa*s_Fin*s_Fi*s_ETres*(1/24)*s_EFres*(1/365)),".")</f>
        <v>15.927272727272729</v>
      </c>
      <c r="E27" s="5">
        <f t="shared" si="37"/>
        <v>2.4931161817754919E-3</v>
      </c>
      <c r="F27" s="3">
        <f t="shared" ref="F27" si="41">IFERROR(C27/s_1_bq,".")</f>
        <v>9.2259740259740359E-5</v>
      </c>
      <c r="G27" s="3">
        <f t="shared" ref="G27" si="42">IFERROR(D27/s_1_bq,".")</f>
        <v>0.58930909090909156</v>
      </c>
      <c r="H27" s="4">
        <f t="shared" ref="H27" si="43">IFERROR(E27/s_1_bq,".")</f>
        <v>9.2245298725693293E-5</v>
      </c>
      <c r="I27" s="3">
        <f>IFERROR(C27*Isospec!C26*Isospec!F26*s_SSLcm_m,".")</f>
        <v>7.7498181818181837E-15</v>
      </c>
      <c r="J27" s="3">
        <f>IFERROR(D27*Isospec!C26*Isospec!F26*s_SSLcm_m,".")</f>
        <v>4.9501963636363648E-11</v>
      </c>
      <c r="K27" s="5">
        <f>IFERROR(E27*Isospec!C26*Isospec!F26*s_SSLcm_m,".")</f>
        <v>7.7486050929582288E-15</v>
      </c>
    </row>
    <row r="28" spans="1:11">
      <c r="A28" s="82" t="s">
        <v>35</v>
      </c>
      <c r="B28" s="12" t="s">
        <v>50</v>
      </c>
      <c r="C28" s="2">
        <f>IFERROR((s_DL)/(Doses!H26*s_IFAres_adj*s_Fin*s_Fi),".")</f>
        <v>2.4935064935064939E-3</v>
      </c>
      <c r="D28" s="3">
        <f>IFERROR((s_DL)/(Doses!J26*s_GSFa*s_Fin*s_Fi*s_ETres*(1/24)*s_EFres*(1/365)),".")</f>
        <v>15.927272727272729</v>
      </c>
      <c r="E28" s="5">
        <f t="shared" ref="E28:E31" si="44">IFERROR(IF(AND(ISNUMBER(C28),ISNUMBER(D28)),(1/((1/C28)+(1/D28))),IF(AND(ISNUMBER(C28),NOT(ISNUMBER(D28))),(1/(1/C28)),IF(AND(NOT(ISNUMBER(C28)),ISNUMBER(D28)),(1/(1/D28)),"."))),".")</f>
        <v>2.4931161817754919E-3</v>
      </c>
      <c r="F28" s="3">
        <f t="shared" ref="F28:F31" si="45">IFERROR(C28/s_1_bq,".")</f>
        <v>9.2259740259740359E-5</v>
      </c>
      <c r="G28" s="3">
        <f t="shared" ref="G28:G31" si="46">IFERROR(D28/s_1_bq,".")</f>
        <v>0.58930909090909156</v>
      </c>
      <c r="H28" s="4">
        <f t="shared" ref="H28:H31" si="47">IFERROR(E28/s_1_bq,".")</f>
        <v>9.2245298725693293E-5</v>
      </c>
      <c r="I28" s="3">
        <f>IFERROR(C28*Isospec!C27*Isospec!F27*s_SSLcm_m,".")</f>
        <v>7.9941818181818197E-15</v>
      </c>
      <c r="J28" s="3">
        <f>IFERROR(D28*Isospec!C27*Isospec!F27*s_SSLcm_m,".")</f>
        <v>5.1062836363636376E-11</v>
      </c>
      <c r="K28" s="5">
        <f>IFERROR(E28*Isospec!C27*Isospec!F27*s_SSLcm_m,".")</f>
        <v>7.9929304787722266E-15</v>
      </c>
    </row>
    <row r="29" spans="1:11">
      <c r="A29" s="82" t="s">
        <v>40</v>
      </c>
      <c r="B29" s="85" t="s">
        <v>50</v>
      </c>
      <c r="C29" s="2">
        <f>IFERROR((s_DL)/(Doses!H27*s_IFAres_adj*s_Fin*s_Fi),".")</f>
        <v>2.4935064935064939E-3</v>
      </c>
      <c r="D29" s="3">
        <f>IFERROR((s_DL)/(Doses!J27*s_GSFa*s_Fin*s_Fi*s_ETres*(1/24)*s_EFres*(1/365)),".")</f>
        <v>15.927272727272729</v>
      </c>
      <c r="E29" s="5">
        <f t="shared" si="44"/>
        <v>2.4931161817754919E-3</v>
      </c>
      <c r="F29" s="3">
        <f t="shared" si="45"/>
        <v>9.2259740259740359E-5</v>
      </c>
      <c r="G29" s="3">
        <f t="shared" si="46"/>
        <v>0.58930909090909156</v>
      </c>
      <c r="H29" s="4">
        <f t="shared" si="47"/>
        <v>9.2245298725693293E-5</v>
      </c>
      <c r="I29" s="3">
        <f>IFERROR(C29*Isospec!C28*Isospec!F28*s_SSLcm_m,".")</f>
        <v>7.1912727272727281E-15</v>
      </c>
      <c r="J29" s="3">
        <f>IFERROR(D29*Isospec!C28*Isospec!F28*s_SSLcm_m,".")</f>
        <v>4.5934254545454557E-11</v>
      </c>
      <c r="K29" s="5">
        <f>IFERROR(E29*Isospec!C28*Isospec!F28*s_SSLcm_m,".")</f>
        <v>7.1901470682405191E-15</v>
      </c>
    </row>
    <row r="30" spans="1:11">
      <c r="A30" s="82" t="s">
        <v>41</v>
      </c>
      <c r="B30" s="12" t="s">
        <v>50</v>
      </c>
      <c r="C30" s="2">
        <f>IFERROR((s_DL)/(Doses!H28*s_IFAres_adj*s_Fin*s_Fi),".")</f>
        <v>2.4935064935064939E-3</v>
      </c>
      <c r="D30" s="3">
        <f>IFERROR((s_DL)/(Doses!J28*s_GSFa*s_Fin*s_Fi*s_ETres*(1/24)*s_EFres*(1/365)),".")</f>
        <v>15.927272727272729</v>
      </c>
      <c r="E30" s="5">
        <f t="shared" si="44"/>
        <v>2.4931161817754919E-3</v>
      </c>
      <c r="F30" s="3">
        <f t="shared" si="45"/>
        <v>9.2259740259740359E-5</v>
      </c>
      <c r="G30" s="3">
        <f t="shared" si="46"/>
        <v>0.58930909090909156</v>
      </c>
      <c r="H30" s="4">
        <f t="shared" si="47"/>
        <v>9.2245298725693293E-5</v>
      </c>
      <c r="I30" s="3">
        <f>IFERROR(C30*Isospec!C29*Isospec!F29*s_SSLcm_m,".")</f>
        <v>7.2960000000000002E-15</v>
      </c>
      <c r="J30" s="3">
        <f>IFERROR(D30*Isospec!C29*Isospec!F29*s_SSLcm_m,".")</f>
        <v>4.6603200000000011E-11</v>
      </c>
      <c r="K30" s="5">
        <f>IFERROR(E30*Isospec!C29*Isospec!F29*s_SSLcm_m,".")</f>
        <v>7.2948579478750903E-15</v>
      </c>
    </row>
    <row r="31" spans="1:11">
      <c r="A31" s="82" t="s">
        <v>42</v>
      </c>
      <c r="B31" s="85" t="s">
        <v>50</v>
      </c>
      <c r="C31" s="2">
        <f>IFERROR((s_DL)/(Doses!H29*s_IFAres_adj*s_Fin*s_Fi),".")</f>
        <v>2.4935064935064939E-3</v>
      </c>
      <c r="D31" s="3">
        <f>IFERROR((s_DL)/(Doses!J29*s_GSFa*s_Fin*s_Fi*s_ETres*(1/24)*s_EFres*(1/365)),".")</f>
        <v>15.927272727272729</v>
      </c>
      <c r="E31" s="5">
        <f t="shared" si="44"/>
        <v>2.4931161817754919E-3</v>
      </c>
      <c r="F31" s="3">
        <f t="shared" si="45"/>
        <v>9.2259740259740359E-5</v>
      </c>
      <c r="G31" s="3">
        <f t="shared" si="46"/>
        <v>0.58930909090909156</v>
      </c>
      <c r="H31" s="4">
        <f t="shared" si="47"/>
        <v>9.2245298725693293E-5</v>
      </c>
      <c r="I31" s="3">
        <f>IFERROR(C31*Isospec!C30*Isospec!F30*s_SSLcm_m,".")</f>
        <v>7.330909090909092E-15</v>
      </c>
      <c r="J31" s="3">
        <f>IFERROR(D31*Isospec!C30*Isospec!F30*s_SSLcm_m,".")</f>
        <v>4.6826181818181831E-11</v>
      </c>
      <c r="K31" s="5">
        <f>IFERROR(E31*Isospec!C30*Isospec!F30*s_SSLcm_m,".")</f>
        <v>7.3297615744199458E-15</v>
      </c>
    </row>
    <row r="32" spans="1:11">
      <c r="A32" s="82" t="s">
        <v>25</v>
      </c>
      <c r="B32" s="12" t="s">
        <v>50</v>
      </c>
      <c r="C32" s="2">
        <f>IFERROR((s_DL)/(Doses!H30*s_IFAres_adj*s_Fin*s_Fi),".")</f>
        <v>2.4935064935064939E-3</v>
      </c>
      <c r="D32" s="3">
        <f>IFERROR((s_DL)/(Doses!J30*s_GSFa*s_Fin*s_Fi*s_ETres*(1/24)*s_EFres*(1/365)),".")</f>
        <v>15.927272727272729</v>
      </c>
      <c r="E32" s="5">
        <f t="shared" ref="E32" si="48">IFERROR(IF(AND(ISNUMBER(C32),ISNUMBER(D32)),(1/((1/C32)+(1/D32))),IF(AND(ISNUMBER(C32),NOT(ISNUMBER(D32))),(1/(1/C32)),IF(AND(NOT(ISNUMBER(C32)),ISNUMBER(D32)),(1/(1/D32)),"."))),".")</f>
        <v>2.4931161817754919E-3</v>
      </c>
      <c r="F32" s="3">
        <f t="shared" ref="F32" si="49">IFERROR(C32/s_1_bq,".")</f>
        <v>9.2259740259740359E-5</v>
      </c>
      <c r="G32" s="3">
        <f t="shared" ref="G32" si="50">IFERROR(D32/s_1_bq,".")</f>
        <v>0.58930909090909156</v>
      </c>
      <c r="H32" s="4">
        <f t="shared" ref="H32" si="51">IFERROR(E32/s_1_bq,".")</f>
        <v>9.2245298725693293E-5</v>
      </c>
      <c r="I32" s="3">
        <f>IFERROR(C32*Isospec!C31*Isospec!F31*s_SSLcm_m,".")</f>
        <v>8.1338181818181836E-15</v>
      </c>
      <c r="J32" s="3">
        <f>IFERROR(D32*Isospec!C31*Isospec!F31*s_SSLcm_m,".")</f>
        <v>5.195476363636365E-11</v>
      </c>
      <c r="K32" s="5">
        <f>IFERROR(E32*Isospec!C31*Isospec!F31*s_SSLcm_m,".")</f>
        <v>8.1325449849516548E-15</v>
      </c>
    </row>
    <row r="33" spans="1:11">
      <c r="A33" s="30" t="s">
        <v>14</v>
      </c>
      <c r="B33" s="30" t="s">
        <v>50</v>
      </c>
      <c r="C33" s="71">
        <f t="shared" ref="C33:H33" si="52">IFERROR(1/SUM(1/C34,1/C35,1/C36,1/C37,1/C38,1/C39,1/C40,1/C41,1/C42,1/C43,1/C44,1/C45,1/C46),0)</f>
        <v>2.0779844174546018E-4</v>
      </c>
      <c r="D33" s="72">
        <f t="shared" si="52"/>
        <v>1.3273125466491269</v>
      </c>
      <c r="E33" s="73">
        <f t="shared" si="52"/>
        <v>2.0776591479206808E-4</v>
      </c>
      <c r="F33" s="71">
        <f t="shared" si="52"/>
        <v>7.6885423445820349E-6</v>
      </c>
      <c r="G33" s="72">
        <f t="shared" si="52"/>
        <v>4.9110564226017749E-2</v>
      </c>
      <c r="H33" s="73">
        <f t="shared" si="52"/>
        <v>7.687338847306526E-6</v>
      </c>
      <c r="I33" s="20">
        <f>IFERROR(C33*Isospec!$C$4*Isospec!$F$4*s_SSLcm_m,".")</f>
        <v>7.0111194244918278E-16</v>
      </c>
      <c r="J33" s="19">
        <f>IFERROR(D33*Isospec!$C$4*Isospec!$F$4*s_SSLcm_m,".")</f>
        <v>4.4783525323941546E-12</v>
      </c>
      <c r="K33" s="21">
        <f>IFERROR(E33*Isospec!$C$4*Isospec!$F$4*s_SSLcm_m,".")</f>
        <v>7.0100219650843779E-16</v>
      </c>
    </row>
    <row r="34" spans="1:11">
      <c r="A34" s="31" t="s">
        <v>137</v>
      </c>
      <c r="B34" s="32">
        <v>1</v>
      </c>
      <c r="C34" s="65">
        <f>IFERROR(VLOOKUP("Am-241",$A$4:$L$32,3)/$B34,0)</f>
        <v>2.4935064935064939E-3</v>
      </c>
      <c r="D34" s="66">
        <f>IFERROR(VLOOKUP("Am-241",$A$4:$L$32,4)/$B34,0)</f>
        <v>15.927272727272729</v>
      </c>
      <c r="E34" s="67">
        <f>IFERROR(IF(AND(C34&lt;&gt;0,D34&lt;&gt;0),(1/((1/C34)+(1/D34))),IF(AND(C34&lt;&gt;0,D34=0),(1/(1/C34)),IF(AND(C34=0,D34&lt;&gt;0),(1/(1/D34)),0))),0)</f>
        <v>2.4931161817754919E-3</v>
      </c>
      <c r="F34" s="65">
        <f>IFERROR(VLOOKUP("Am-241",$A$4:$L$32,6)/$B34,0)</f>
        <v>9.2259740259740359E-5</v>
      </c>
      <c r="G34" s="66">
        <f>IFERROR(VLOOKUP("Am-241",$A$4:$L$32,7)/$B34,0)</f>
        <v>0.58930909090909156</v>
      </c>
      <c r="H34" s="67">
        <f>IFERROR(IF(AND(F34&lt;&gt;0,G34&lt;&gt;0),(1/((1/F34)+(1/G34))),IF(AND(F34&lt;&gt;0,G34=0),(1/(1/F34)),IF(AND(F34=0,G34&lt;&gt;0),(1/(1/G34)),0))),0)</f>
        <v>9.2245298725693279E-5</v>
      </c>
      <c r="I34" s="65">
        <f>IFERROR(VLOOKUP("Am-241",$A$4:$K$32,9)/$B34,0)</f>
        <v>8.4130909090909098E-15</v>
      </c>
      <c r="J34" s="66">
        <f>IFERROR(VLOOKUP("Am-241",$A$4:$L$32,10)/$B34,0)</f>
        <v>5.3738618181818193E-11</v>
      </c>
      <c r="K34" s="67">
        <f>IFERROR(VLOOKUP("Am-241",$A$4:$L$32,11)/$B34,0)</f>
        <v>8.4117739973105096E-15</v>
      </c>
    </row>
    <row r="35" spans="1:11">
      <c r="A35" s="31" t="s">
        <v>138</v>
      </c>
      <c r="B35" s="32">
        <v>1</v>
      </c>
      <c r="C35" s="65">
        <f>IFERROR(VLOOKUP("Np-237",$A$4:$L$32,3)/$B35,0)</f>
        <v>2.4935064935064939E-3</v>
      </c>
      <c r="D35" s="66">
        <f>IFERROR(VLOOKUP("Np-237",$A$4:$L$32,4)/$B35,0)</f>
        <v>15.927272727272729</v>
      </c>
      <c r="E35" s="67">
        <f t="shared" ref="E35:E46" si="53">IFERROR(IF(AND(C35&lt;&gt;0,D35&lt;&gt;0),(1/((1/C35)+(1/D35))),IF(AND(C35&lt;&gt;0,D35=0),(1/(1/C35)),IF(AND(C35=0,D35&lt;&gt;0),(1/(1/D35)),0))),0)</f>
        <v>2.4931161817754919E-3</v>
      </c>
      <c r="F35" s="65">
        <f>IFERROR(VLOOKUP("Np-237",$A$4:$L$32,6)/$B35,0)</f>
        <v>9.2259740259740359E-5</v>
      </c>
      <c r="G35" s="66">
        <f>IFERROR(VLOOKUP("Np-237",$A$4:$L$32,7)/$B35,0)</f>
        <v>0.58930909090909156</v>
      </c>
      <c r="H35" s="67">
        <f t="shared" ref="H35" si="54">IFERROR(IF(AND(F35&lt;&gt;0,G35&lt;&gt;0),(1/((1/F35)+(1/G35))),IF(AND(F35&lt;&gt;0,G35=0),(1/(1/F35)),IF(AND(F35=0,G35&lt;&gt;0),(1/(1/G35)),0))),0)</f>
        <v>9.2245298725693279E-5</v>
      </c>
      <c r="I35" s="65">
        <f>IFERROR(VLOOKUP("Np-237",$A$4:$L$32,9)/$B35,0)</f>
        <v>8.2734545454545475E-15</v>
      </c>
      <c r="J35" s="66">
        <f>IFERROR(VLOOKUP("Np-237",$A$4:$L$32,10)/$B35,0)</f>
        <v>5.2846690909090925E-11</v>
      </c>
      <c r="K35" s="67">
        <f>IFERROR(VLOOKUP("Np-237",$A$4:$L$32,11)/$B35,0)</f>
        <v>8.272159491131083E-15</v>
      </c>
    </row>
    <row r="36" spans="1:11">
      <c r="A36" s="31" t="s">
        <v>139</v>
      </c>
      <c r="B36" s="32">
        <v>1</v>
      </c>
      <c r="C36" s="65">
        <f>IFERROR(VLOOKUP("Pa-233",$A$4:$L$32,3)/$B36,0)</f>
        <v>2.4935064935064939E-3</v>
      </c>
      <c r="D36" s="66">
        <f>IFERROR(VLOOKUP("Pa-233",$A$4:$L$32,4)/$B36,0)</f>
        <v>15.927272727272729</v>
      </c>
      <c r="E36" s="67">
        <f>IFERROR(IF(AND(C36&lt;&gt;0,D36&lt;&gt;0),(1/((1/C36)+(1/D36))),IF(AND(C36&lt;&gt;0,D36=0),(1/(1/C36)),IF(AND(C36=0,D36&lt;&gt;0),(1/(1/D36)),0))),0)</f>
        <v>2.4931161817754919E-3</v>
      </c>
      <c r="F36" s="65">
        <f>IFERROR(VLOOKUP("Pa-233",$A$4:$L$32,6)/$B36,0)</f>
        <v>9.2259740259740359E-5</v>
      </c>
      <c r="G36" s="66">
        <f>IFERROR(VLOOKUP("Pa-233",$A$4:$L$32,7)/$B36,0)</f>
        <v>0.58930909090909156</v>
      </c>
      <c r="H36" s="67">
        <f>IFERROR(IF(AND(F36&lt;&gt;0,G36&lt;&gt;0),(1/((1/F36)+(1/G36))),IF(AND(F36&lt;&gt;0,G36=0),(1/(1/F36)),IF(AND(F36=0,G36&lt;&gt;0),(1/(1/G36)),0))),0)</f>
        <v>9.2245298725693279E-5</v>
      </c>
      <c r="I36" s="65">
        <f>IFERROR(VLOOKUP("Pa-233",$A$4:$L$32,9)/$B36,0)</f>
        <v>8.1338181818181836E-15</v>
      </c>
      <c r="J36" s="66">
        <f>IFERROR(VLOOKUP("Pa-233",$A$4:$L$32,10)/$B36,0)</f>
        <v>5.195476363636365E-11</v>
      </c>
      <c r="K36" s="67">
        <f>IFERROR(VLOOKUP("Pa-233",$A$4:$L$32,11)/$B36,0)</f>
        <v>8.1325449849516548E-15</v>
      </c>
    </row>
    <row r="37" spans="1:11">
      <c r="A37" s="31" t="s">
        <v>140</v>
      </c>
      <c r="B37" s="32">
        <v>1</v>
      </c>
      <c r="C37" s="65">
        <f>IFERROR(VLOOKUP("U-233",$A$4:$L$32,3)/$B37,0)</f>
        <v>2.4935064935064939E-3</v>
      </c>
      <c r="D37" s="66">
        <f>IFERROR(VLOOKUP("U-233",$A$4:$L$32,4)/$B37,0)</f>
        <v>15.927272727272729</v>
      </c>
      <c r="E37" s="67">
        <f t="shared" si="53"/>
        <v>2.4931161817754919E-3</v>
      </c>
      <c r="F37" s="65">
        <f>IFERROR(VLOOKUP("U-233",$A$4:$L$32,6)/$B37,0)</f>
        <v>9.2259740259740359E-5</v>
      </c>
      <c r="G37" s="66">
        <f>IFERROR(VLOOKUP("U-233",$A$4:$L$32,7)/$B37,0)</f>
        <v>0.58930909090909156</v>
      </c>
      <c r="H37" s="67">
        <f t="shared" ref="H37:H46" si="55">IFERROR(IF(AND(F37&lt;&gt;0,G37&lt;&gt;0),(1/((1/F37)+(1/G37))),IF(AND(F37&lt;&gt;0,G37=0),(1/(1/F37)),IF(AND(F37=0,G37&lt;&gt;0),(1/(1/G37)),0))),0)</f>
        <v>9.2245298725693279E-5</v>
      </c>
      <c r="I37" s="65">
        <f>IFERROR(VLOOKUP("U-233",$A$4:$L$32,9)/$B37,0)</f>
        <v>8.1338181818181836E-15</v>
      </c>
      <c r="J37" s="66">
        <f>IFERROR(VLOOKUP("U-233",$A$4:$L$32,10)/$B37,0)</f>
        <v>5.195476363636365E-11</v>
      </c>
      <c r="K37" s="67">
        <f>IFERROR(VLOOKUP("U-233",$A$4:$L$32,11)/$B37,0)</f>
        <v>8.1325449849516548E-15</v>
      </c>
    </row>
    <row r="38" spans="1:11">
      <c r="A38" s="31" t="s">
        <v>141</v>
      </c>
      <c r="B38" s="32">
        <v>1</v>
      </c>
      <c r="C38" s="65">
        <f>IFERROR(VLOOKUP("Th-229",$A$4:$L$32,3)/$B38,0)</f>
        <v>2.4935064935064939E-3</v>
      </c>
      <c r="D38" s="66">
        <f>IFERROR(VLOOKUP("Th-229",$A$4:$L$32,4)/$B38,0)</f>
        <v>15.927272727272729</v>
      </c>
      <c r="E38" s="67">
        <f t="shared" si="53"/>
        <v>2.4931161817754919E-3</v>
      </c>
      <c r="F38" s="65">
        <f>IFERROR(VLOOKUP("Th-229",$A$4:$L$32,6)/$B38,0)</f>
        <v>9.2259740259740359E-5</v>
      </c>
      <c r="G38" s="66">
        <f>IFERROR(VLOOKUP("Th-229",$A$4:$L$32,7)/$B38,0)</f>
        <v>0.58930909090909156</v>
      </c>
      <c r="H38" s="67">
        <f t="shared" si="55"/>
        <v>9.2245298725693279E-5</v>
      </c>
      <c r="I38" s="65">
        <f>IFERROR(VLOOKUP("Th-229",$A$4:$L$32,9)/$B38,0)</f>
        <v>7.9941818181818197E-15</v>
      </c>
      <c r="J38" s="66">
        <f>IFERROR(VLOOKUP("Th-229",$A$4:$L$32,10)/$B38,0)</f>
        <v>5.1062836363636376E-11</v>
      </c>
      <c r="K38" s="67">
        <f>IFERROR(VLOOKUP("Th-229",$A$4:$L$32,11)/$B38,0)</f>
        <v>7.9929304787722266E-15</v>
      </c>
    </row>
    <row r="39" spans="1:11">
      <c r="A39" s="31" t="s">
        <v>142</v>
      </c>
      <c r="B39" s="32">
        <v>1</v>
      </c>
      <c r="C39" s="65">
        <f>IFERROR(VLOOKUP("Ra-225",$A$4:$L$32,3)/$B39,0)</f>
        <v>2.4935064935064939E-3</v>
      </c>
      <c r="D39" s="66">
        <f>IFERROR(VLOOKUP("Ra-225",$A$4:$L$32,4)/$B39,0)</f>
        <v>15.927272727272729</v>
      </c>
      <c r="E39" s="67">
        <f t="shared" si="53"/>
        <v>2.4931161817754919E-3</v>
      </c>
      <c r="F39" s="65">
        <f>IFERROR(VLOOKUP("Ra-225",$A$4:$L$32,6)/$B39,0)</f>
        <v>9.2259740259740359E-5</v>
      </c>
      <c r="G39" s="66">
        <f>IFERROR(VLOOKUP("Ra-225",$A$4:$L$32,7)/$B39,0)</f>
        <v>0.58930909090909156</v>
      </c>
      <c r="H39" s="67">
        <f t="shared" si="55"/>
        <v>9.2245298725693279E-5</v>
      </c>
      <c r="I39" s="65">
        <f>IFERROR(VLOOKUP("Ra-225",$A$4:$L$32,9)/$B39,0)</f>
        <v>7.8545454545454558E-15</v>
      </c>
      <c r="J39" s="66">
        <f>IFERROR(VLOOKUP("Ra-225",$A$4:$L$32,10)/$B39,0)</f>
        <v>5.0170909090909108E-11</v>
      </c>
      <c r="K39" s="67">
        <f>IFERROR(VLOOKUP("Ra-225",$A$4:$L$32,11)/$B39,0)</f>
        <v>7.8533159725927999E-15</v>
      </c>
    </row>
    <row r="40" spans="1:11">
      <c r="A40" s="31" t="s">
        <v>143</v>
      </c>
      <c r="B40" s="32">
        <v>1</v>
      </c>
      <c r="C40" s="65">
        <f>IFERROR(VLOOKUP("Ac-225",$A$4:$L$32,3)/$B40,0)</f>
        <v>2.4935064935064939E-3</v>
      </c>
      <c r="D40" s="66">
        <f>IFERROR(VLOOKUP("Ac-225",$A$4:$L$32,4)/$B40,0)</f>
        <v>15.927272727272729</v>
      </c>
      <c r="E40" s="67">
        <f t="shared" si="53"/>
        <v>2.4931161817754919E-3</v>
      </c>
      <c r="F40" s="65">
        <f>IFERROR(VLOOKUP("Ac-225",$A$4:$L$32,6)/$B40,0)</f>
        <v>9.2259740259740359E-5</v>
      </c>
      <c r="G40" s="66">
        <f>IFERROR(VLOOKUP("Ac-225",$A$4:$L$32,7)/$B40,0)</f>
        <v>0.58930909090909156</v>
      </c>
      <c r="H40" s="67">
        <f t="shared" si="55"/>
        <v>9.2245298725693279E-5</v>
      </c>
      <c r="I40" s="65">
        <f>IFERROR(VLOOKUP("Ac-225",$A$4:$L$32,9)/$B40,0)</f>
        <v>7.8545454545454558E-15</v>
      </c>
      <c r="J40" s="66">
        <f>IFERROR(VLOOKUP("Ac-225",$A$4:$L$32,10)/$B40,0)</f>
        <v>5.0170909090909108E-11</v>
      </c>
      <c r="K40" s="67">
        <f>IFERROR(VLOOKUP("Ac-225",$A$4:$L$32,11)/$B40,0)</f>
        <v>7.8533159725927999E-15</v>
      </c>
    </row>
    <row r="41" spans="1:11">
      <c r="A41" s="31" t="s">
        <v>144</v>
      </c>
      <c r="B41" s="32">
        <v>1</v>
      </c>
      <c r="C41" s="65">
        <f>IFERROR(VLOOKUP("Fr-221",$A$4:$L$32,3)/$B41,0)</f>
        <v>2.4935064935064939E-3</v>
      </c>
      <c r="D41" s="66">
        <f>IFERROR(VLOOKUP("Fr-221",$A$4:$L$32,4)/$B41,0)</f>
        <v>15.927272727272729</v>
      </c>
      <c r="E41" s="67">
        <f t="shared" si="53"/>
        <v>2.4931161817754919E-3</v>
      </c>
      <c r="F41" s="65">
        <f>IFERROR(VLOOKUP("Fr-221",$A$4:$L$32,6)/$B41,0)</f>
        <v>9.2259740259740359E-5</v>
      </c>
      <c r="G41" s="66">
        <f>IFERROR(VLOOKUP("Fr-221",$A$4:$L$32,7)/$B41,0)</f>
        <v>0.58930909090909156</v>
      </c>
      <c r="H41" s="67">
        <f t="shared" si="55"/>
        <v>9.2245298725693279E-5</v>
      </c>
      <c r="I41" s="65">
        <f>IFERROR(VLOOKUP("Fr-221",$A$4:$L$32,9)/$B41,0)</f>
        <v>7.7149090909090919E-15</v>
      </c>
      <c r="J41" s="66">
        <f>IFERROR(VLOOKUP("Fr-221",$A$4:$L$32,10)/$B41,0)</f>
        <v>4.9278981818181834E-11</v>
      </c>
      <c r="K41" s="67">
        <f>IFERROR(VLOOKUP("Fr-221",$A$4:$L$32,11)/$B41,0)</f>
        <v>7.7137014664133717E-15</v>
      </c>
    </row>
    <row r="42" spans="1:11">
      <c r="A42" s="31" t="s">
        <v>145</v>
      </c>
      <c r="B42" s="32">
        <v>1</v>
      </c>
      <c r="C42" s="65">
        <f>IFERROR(VLOOKUP("At-217",$A$4:$L$32,3)/$B42,0)</f>
        <v>2.4935064935064939E-3</v>
      </c>
      <c r="D42" s="66">
        <f>IFERROR(VLOOKUP("At-217",$A$4:$L$32,4)/$B42,0)</f>
        <v>15.927272727272729</v>
      </c>
      <c r="E42" s="67">
        <f t="shared" si="53"/>
        <v>2.4931161817754919E-3</v>
      </c>
      <c r="F42" s="65">
        <f>IFERROR(VLOOKUP("At-217",$A$4:$L$32,6)/$B42,0)</f>
        <v>9.2259740259740359E-5</v>
      </c>
      <c r="G42" s="66">
        <f>IFERROR(VLOOKUP("At-217",$A$4:$L$32,7)/$B42,0)</f>
        <v>0.58930909090909156</v>
      </c>
      <c r="H42" s="67">
        <f t="shared" si="55"/>
        <v>9.2245298725693279E-5</v>
      </c>
      <c r="I42" s="65">
        <f>IFERROR(VLOOKUP("At-217",$A$4:$L$32,9)/$B42,0)</f>
        <v>7.5752727272727296E-15</v>
      </c>
      <c r="J42" s="66">
        <f>IFERROR(VLOOKUP("At-217",$A$4:$L$32,10)/$B42,0)</f>
        <v>4.8387054545454553E-11</v>
      </c>
      <c r="K42" s="67">
        <f>IFERROR(VLOOKUP("At-217",$A$4:$L$32,11)/$B42,0)</f>
        <v>7.5740869602339451E-15</v>
      </c>
    </row>
    <row r="43" spans="1:11">
      <c r="A43" s="31" t="s">
        <v>146</v>
      </c>
      <c r="B43" s="33">
        <v>0.99987999999999999</v>
      </c>
      <c r="C43" s="65">
        <f>IFERROR(VLOOKUP("Bi-213",$A$4:$L$32,3)/$B43,0)</f>
        <v>2.4938057501965173E-3</v>
      </c>
      <c r="D43" s="66">
        <f>IFERROR(VLOOKUP("Bi-213",$A$4:$L$32,4)/$B43,0)</f>
        <v>15.929184229380255</v>
      </c>
      <c r="E43" s="67">
        <f t="shared" si="53"/>
        <v>2.4934153916224859E-3</v>
      </c>
      <c r="F43" s="65">
        <f>IFERROR(VLOOKUP("Bi-213",$A$4:$L$32,6)/$B43,0)</f>
        <v>9.227081275727123E-5</v>
      </c>
      <c r="G43" s="66">
        <f>IFERROR(VLOOKUP("Bi-213",$A$4:$L$32,7)/$B43,0)</f>
        <v>0.58937981648707005</v>
      </c>
      <c r="H43" s="67">
        <f t="shared" si="55"/>
        <v>9.2256369490032082E-5</v>
      </c>
      <c r="I43" s="65">
        <f>IFERROR(VLOOKUP("Bi-213",$A$4:$L$32,9)/$B43,0)</f>
        <v>7.4365287470860168E-15</v>
      </c>
      <c r="J43" s="66">
        <f>IFERROR(VLOOKUP("Bi-213",$A$4:$L$32,10)/$B43,0)</f>
        <v>4.7500827372011934E-11</v>
      </c>
      <c r="K43" s="67">
        <f>IFERROR(VLOOKUP("Bi-213",$A$4:$L$32,11)/$B43,0)</f>
        <v>7.4353646978182546E-15</v>
      </c>
    </row>
    <row r="44" spans="1:11">
      <c r="A44" s="31" t="s">
        <v>147</v>
      </c>
      <c r="B44" s="32">
        <v>0.97898250799999997</v>
      </c>
      <c r="C44" s="65">
        <f>IFERROR(VLOOKUP("Po-213",$A$4:$L$32,3)/$B44,0)</f>
        <v>2.5470388624211191E-3</v>
      </c>
      <c r="D44" s="66">
        <f>IFERROR(VLOOKUP("Po-213",$A$4:$L$32,4)/$B44,0)</f>
        <v>16.269210733714896</v>
      </c>
      <c r="E44" s="67">
        <f t="shared" si="53"/>
        <v>2.5466401712005786E-3</v>
      </c>
      <c r="F44" s="65">
        <f>IFERROR(VLOOKUP("Po-213",$A$4:$L$32,6)/$B44,0)</f>
        <v>9.4240437909581486E-5</v>
      </c>
      <c r="G44" s="66">
        <f>IFERROR(VLOOKUP("Po-213",$A$4:$L$32,7)/$B44,0)</f>
        <v>0.60196079714745176</v>
      </c>
      <c r="H44" s="67">
        <f t="shared" si="55"/>
        <v>9.4225686334421506E-5</v>
      </c>
      <c r="I44" s="65">
        <f>IFERROR(VLOOKUP("Po-213",$A$4:$L$32,9)/$B44,0)</f>
        <v>7.5952698877397779E-15</v>
      </c>
      <c r="J44" s="66">
        <f>IFERROR(VLOOKUP("Po-213",$A$4:$L$32,10)/$B44,0)</f>
        <v>4.8514786407937838E-11</v>
      </c>
      <c r="K44" s="67">
        <f>IFERROR(VLOOKUP("Po-213",$A$4:$L$32,11)/$B44,0)</f>
        <v>7.5940809905201255E-15</v>
      </c>
    </row>
    <row r="45" spans="1:11">
      <c r="A45" s="31" t="s">
        <v>148</v>
      </c>
      <c r="B45" s="32">
        <v>2.0897492E-2</v>
      </c>
      <c r="C45" s="65">
        <f>IFERROR(VLOOKUP("Tl-209",$A$4:$L$32,3)/$B45,0)</f>
        <v>0.11932084929169939</v>
      </c>
      <c r="D45" s="66">
        <f>IFERROR(VLOOKUP("Tl-209",$A$4:$L$32,4)/$B45,0)</f>
        <v>762.16192485072986</v>
      </c>
      <c r="E45" s="67">
        <f t="shared" si="53"/>
        <v>0.11930217184796586</v>
      </c>
      <c r="F45" s="65">
        <f>IFERROR(VLOOKUP("Tl-209",$A$4:$L$32,6)/$B45,0)</f>
        <v>4.4148714237928818E-3</v>
      </c>
      <c r="G45" s="66">
        <f>IFERROR(VLOOKUP("Tl-209",$A$4:$L$32,7)/$B45,0)</f>
        <v>28.199991219477035</v>
      </c>
      <c r="H45" s="67">
        <f t="shared" si="55"/>
        <v>4.4141803583747407E-3</v>
      </c>
      <c r="I45" s="65">
        <f>IFERROR(VLOOKUP("Tl-209",$A$4:$L$32,9)/$B45,0)</f>
        <v>3.4913280502751238E-13</v>
      </c>
      <c r="J45" s="66">
        <f>IFERROR(VLOOKUP("Tl-209",$A$4:$L$32,10)/$B45,0)</f>
        <v>2.2300857921132361E-9</v>
      </c>
      <c r="K45" s="67">
        <f>IFERROR(VLOOKUP("Tl-209",$A$4:$L$32,11)/$B45,0)</f>
        <v>3.4907815482714818E-13</v>
      </c>
    </row>
    <row r="46" spans="1:11">
      <c r="A46" s="31" t="s">
        <v>149</v>
      </c>
      <c r="B46" s="32">
        <v>0.99987999999999999</v>
      </c>
      <c r="C46" s="65">
        <f>IFERROR(VLOOKUP("Pb-209",$A$4:$L$32,3)/$B46,0)</f>
        <v>2.4938057501965173E-3</v>
      </c>
      <c r="D46" s="66">
        <f>IFERROR(VLOOKUP("Pb-209",$A$4:$L$32,4)/$B46,0)</f>
        <v>15.929184229380255</v>
      </c>
      <c r="E46" s="67">
        <f t="shared" si="53"/>
        <v>2.4934153916224859E-3</v>
      </c>
      <c r="F46" s="65">
        <f>IFERROR(VLOOKUP("Pb-209",$A$4:$L$32,6)/$B46,0)</f>
        <v>9.227081275727123E-5</v>
      </c>
      <c r="G46" s="66">
        <f>IFERROR(VLOOKUP("Pb-209",$A$4:$L$32,7)/$B46,0)</f>
        <v>0.58937981648707005</v>
      </c>
      <c r="H46" s="67">
        <f t="shared" si="55"/>
        <v>9.2256369490032082E-5</v>
      </c>
      <c r="I46" s="65">
        <f>IFERROR(VLOOKUP("Pb-209",$A$4:$L$32,9)/$B46,0)</f>
        <v>7.2968756250750092E-15</v>
      </c>
      <c r="J46" s="66">
        <f>IFERROR(VLOOKUP("Pb-209",$A$4:$L$32,10)/$B46,0)</f>
        <v>4.6608793055166629E-11</v>
      </c>
      <c r="K46" s="67">
        <f>IFERROR(VLOOKUP("Pb-209",$A$4:$L$32,11)/$B46,0)</f>
        <v>7.2957334358873976E-15</v>
      </c>
    </row>
    <row r="47" spans="1:11">
      <c r="A47" s="30" t="s">
        <v>17</v>
      </c>
      <c r="B47" s="30" t="s">
        <v>50</v>
      </c>
      <c r="C47" s="71">
        <f>IFERROR(1/SUM(1/C48,1/C49),0)</f>
        <v>1.2826745474547162E-3</v>
      </c>
      <c r="D47" s="72">
        <f>IFERROR(1/SUM(1/D48,1/D49),0)</f>
        <v>8.193083671866999</v>
      </c>
      <c r="E47" s="73">
        <f>IFERROR(1/SUM(1/E48,1/E49),".")</f>
        <v>1.2824737687824998E-3</v>
      </c>
      <c r="F47" s="71">
        <f>IFERROR(1/SUM(1/F48,1/F49),0)</f>
        <v>4.7458958255824549E-5</v>
      </c>
      <c r="G47" s="72">
        <f>IFERROR(1/SUM(1/G48,1/G49),0)</f>
        <v>0.30314409585907925</v>
      </c>
      <c r="H47" s="73">
        <f>IFERROR(1/SUM(1/H48,1/H49),".")</f>
        <v>4.7451529444952544E-5</v>
      </c>
      <c r="I47" s="68">
        <f>IFERROR(C47*Isospec!$C$11*Isospec!$F$11*s_SSLcm_m,".")</f>
        <v>2.4601697820181459E-15</v>
      </c>
      <c r="J47" s="69">
        <f>IFERROR(D47*Isospec!$C$11*Isospec!$F$11*s_SSLcm_m,".")</f>
        <v>1.5714334482640905E-11</v>
      </c>
      <c r="K47" s="70">
        <f>IFERROR(E47*Isospec!$C$11*Isospec!$F$11*s_SSLcm_m,".")</f>
        <v>2.4597846885248347E-15</v>
      </c>
    </row>
    <row r="48" spans="1:11">
      <c r="A48" s="31" t="s">
        <v>150</v>
      </c>
      <c r="B48" s="32">
        <v>1</v>
      </c>
      <c r="C48" s="65">
        <f>IFERROR(VLOOKUP("Cs-137",$A$4:$L$32,3)/$B48,0)</f>
        <v>2.4935064935064939E-3</v>
      </c>
      <c r="D48" s="66">
        <f>IFERROR(VLOOKUP("Cs-137",$A$4:$L$32,4)/$B48,0)</f>
        <v>15.927272727272729</v>
      </c>
      <c r="E48" s="67">
        <f>IFERROR(IF(AND(C48&lt;&gt;0,D48&lt;&gt;0),(1/((1/C48)+(1/D48))),IF(AND(C48&lt;&gt;0,D48=0),(1/(1/C48)),IF(AND(C48=0,D48&lt;&gt;0),(1/(1/D48)),0))),0)</f>
        <v>2.4931161817754919E-3</v>
      </c>
      <c r="F48" s="65">
        <f>IFERROR(VLOOKUP("Cs-137",$A$4:$L$32,6)/$B48,0)</f>
        <v>9.2259740259740359E-5</v>
      </c>
      <c r="G48" s="66">
        <f>IFERROR(VLOOKUP("Cs-137",$A$4:$L$32,7)/$B48,0)</f>
        <v>0.58930909090909156</v>
      </c>
      <c r="H48" s="67">
        <f>IFERROR(IF(AND(F48&lt;&gt;0,G48&lt;&gt;0),(1/((1/F48)+(1/G48))),IF(AND(F48&lt;&gt;0,G48=0),(1/(1/F48)),IF(AND(F48=0,G48&lt;&gt;0),(1/(1/G48)),0))),0)</f>
        <v>9.2245298725693279E-5</v>
      </c>
      <c r="I48" s="65">
        <f>IFERROR(VLOOKUP("Cs-137",$A$4:$L$32,9)/$B48,0)</f>
        <v>4.7825454545454556E-15</v>
      </c>
      <c r="J48" s="66">
        <f>IFERROR(VLOOKUP("Cs-137",$A$4:$L$32,10)/$B48,0)</f>
        <v>3.05485090909091E-11</v>
      </c>
      <c r="K48" s="67">
        <f>IFERROR(VLOOKUP("Cs-137",$A$4:$L$32,11)/$B48,0)</f>
        <v>4.7817968366453937E-15</v>
      </c>
    </row>
    <row r="49" spans="1:11">
      <c r="A49" s="31" t="s">
        <v>151</v>
      </c>
      <c r="B49" s="32">
        <v>0.94399</v>
      </c>
      <c r="C49" s="65">
        <f>IFERROR(VLOOKUP("Ba-137m",$A$4:$L$32,3)/$B49,0)</f>
        <v>2.6414543517478935E-3</v>
      </c>
      <c r="D49" s="66">
        <f>IFERROR(VLOOKUP("Ba-137m",$A$4:$L$32,4)/$B49,0)</f>
        <v>16.87228967178967</v>
      </c>
      <c r="E49" s="67">
        <f>IFERROR(IF(AND(C49&lt;&gt;0,D49&lt;&gt;0),(1/((1/C49)+(1/D49))),IF(AND(C49&lt;&gt;0,D49=0),(1/(1/C49)),IF(AND(C49=0,D49&lt;&gt;0),(1/(1/D49)),0))),0)</f>
        <v>2.6410408815511735E-3</v>
      </c>
      <c r="F49" s="65">
        <f>IFERROR(VLOOKUP("Ba-137m",$A$4:$L$32,6)/$B49,0)</f>
        <v>9.7733811014672148E-5</v>
      </c>
      <c r="G49" s="66">
        <f>IFERROR(VLOOKUP("Ba-137m",$A$4:$L$32,7)/$B49,0)</f>
        <v>0.62427471785621835</v>
      </c>
      <c r="H49" s="67">
        <f>IFERROR(IF(AND(F49&lt;&gt;0,G49&lt;&gt;0),(1/((1/F49)+(1/G49))),IF(AND(F49&lt;&gt;0,G49=0),(1/(1/F49)),IF(AND(F49=0,G49&lt;&gt;0),(1/(1/G49)),0))),0)</f>
        <v>9.7718512617393495E-5</v>
      </c>
      <c r="I49" s="65">
        <f>IFERROR(VLOOKUP("Ba-137m",$A$4:$L$32,9)/$B49,0)</f>
        <v>5.0663094466524602E-15</v>
      </c>
      <c r="J49" s="66">
        <f>IFERROR(VLOOKUP("Ba-137m",$A$4:$L$32,10)/$B49,0)</f>
        <v>3.2361051590492591E-11</v>
      </c>
      <c r="K49" s="67">
        <f>IFERROR(VLOOKUP("Ba-137m",$A$4:$L$32,11)/$B49,0)</f>
        <v>5.0655164108151507E-15</v>
      </c>
    </row>
    <row r="50" spans="1:11">
      <c r="A50" s="30" t="s">
        <v>27</v>
      </c>
      <c r="B50" s="30" t="s">
        <v>50</v>
      </c>
      <c r="C50" s="71">
        <f t="shared" ref="C50:H50" si="56">IFERROR(1/SUM(1/C51,1/C52,1/C53,1/C56,1/C54,1/C57,1/C55,1/C58,1/C59,1/C60,1/C61,1/C63,1/C62,1/C64),0)</f>
        <v>2.7705623525156961E-4</v>
      </c>
      <c r="D50" s="72">
        <f t="shared" si="56"/>
        <v>1.7696967026694006</v>
      </c>
      <c r="E50" s="73">
        <f t="shared" si="56"/>
        <v>2.7701286728800203E-4</v>
      </c>
      <c r="F50" s="71">
        <f t="shared" si="56"/>
        <v>1.0251080704308083E-5</v>
      </c>
      <c r="G50" s="72">
        <f t="shared" si="56"/>
        <v>6.547877799876789E-2</v>
      </c>
      <c r="H50" s="73">
        <f t="shared" si="56"/>
        <v>1.0249476089656084E-5</v>
      </c>
      <c r="I50" s="68">
        <f>IFERROR(C50*Isospec!$C$24*Isospec!$F$24*s_SSLcm_m,".")</f>
        <v>8.7660592833596626E-16</v>
      </c>
      <c r="J50" s="69">
        <f>IFERROR(D50*Isospec!$C$24*Isospec!$F$24*s_SSLcm_m,".")</f>
        <v>5.5993203672459837E-12</v>
      </c>
      <c r="K50" s="70">
        <f>IFERROR(E50*Isospec!$C$24*Isospec!$F$24*s_SSLcm_m,".")</f>
        <v>8.764687120992384E-16</v>
      </c>
    </row>
    <row r="51" spans="1:11">
      <c r="A51" s="31" t="s">
        <v>152</v>
      </c>
      <c r="B51" s="32">
        <v>1</v>
      </c>
      <c r="C51" s="65">
        <f>IFERROR(VLOOKUP("Ra-226",$A$4:$L$32,3)/$B51,0)</f>
        <v>2.4935064935064939E-3</v>
      </c>
      <c r="D51" s="66">
        <f>IFERROR(VLOOKUP("Ra-226",$A$4:$L$32,4)/$B51,0)</f>
        <v>15.927272727272729</v>
      </c>
      <c r="E51" s="67">
        <f t="shared" ref="E51:E64" si="57">IFERROR(IF(AND(C51&lt;&gt;0,D51&lt;&gt;0),(1/((1/C51)+(1/D51))),IF(AND(C51&lt;&gt;0,D51=0),(1/(1/C51)),IF(AND(C51=0,D51&lt;&gt;0),(1/(1/D51)),0))),0)</f>
        <v>2.4931161817754919E-3</v>
      </c>
      <c r="F51" s="65">
        <f>IFERROR(VLOOKUP("Ra-226",$A$4:$L$32,6)/$B51,0)</f>
        <v>9.2259740259740359E-5</v>
      </c>
      <c r="G51" s="66">
        <f>IFERROR(VLOOKUP("Ra-226",$A$4:$L$32,7)/$B51,0)</f>
        <v>0.58930909090909156</v>
      </c>
      <c r="H51" s="67">
        <f t="shared" ref="H51:H64" si="58">IFERROR(IF(AND(F51&lt;&gt;0,G51&lt;&gt;0),(1/((1/F51)+(1/G51))),IF(AND(F51&lt;&gt;0,G51=0),(1/(1/F51)),IF(AND(F51=0,G51&lt;&gt;0),(1/(1/G51)),0))),0)</f>
        <v>9.2245298725693279E-5</v>
      </c>
      <c r="I51" s="65">
        <f>IFERROR(VLOOKUP("Ra-226",$A$4:$L$32,9)/$B51,0)</f>
        <v>7.889454545454546E-15</v>
      </c>
      <c r="J51" s="66">
        <f>IFERROR(VLOOKUP("Ra-226",$A$4:$L$32,10)/$B51,0)</f>
        <v>5.0393890909090929E-11</v>
      </c>
      <c r="K51" s="67">
        <f>IFERROR(VLOOKUP("Ra-226",$A$4:$L$32,11)/$B51,0)</f>
        <v>7.888219599137657E-15</v>
      </c>
    </row>
    <row r="52" spans="1:11">
      <c r="A52" s="31" t="s">
        <v>153</v>
      </c>
      <c r="B52" s="32">
        <v>1</v>
      </c>
      <c r="C52" s="65">
        <f>IFERROR(VLOOKUP("Rn-222",$A$4:$L$32,3)/$B52,0)</f>
        <v>2.4935064935064939E-3</v>
      </c>
      <c r="D52" s="66">
        <f>IFERROR(VLOOKUP("Rn-222",$A$4:$L$32,4)/$B52,0)</f>
        <v>15.927272727272729</v>
      </c>
      <c r="E52" s="67">
        <f t="shared" si="57"/>
        <v>2.4931161817754919E-3</v>
      </c>
      <c r="F52" s="65">
        <f>IFERROR(VLOOKUP("Rn-222",$A$4:$L$32,6)/$B52,0)</f>
        <v>9.2259740259740359E-5</v>
      </c>
      <c r="G52" s="66">
        <f>IFERROR(VLOOKUP("Rn-222",$A$4:$L$32,7)/$B52,0)</f>
        <v>0.58930909090909156</v>
      </c>
      <c r="H52" s="67">
        <f t="shared" si="58"/>
        <v>9.2245298725693279E-5</v>
      </c>
      <c r="I52" s="65">
        <f>IFERROR(VLOOKUP("Rn-222",$A$4:$L$32,9)/$B52,0)</f>
        <v>7.7498181818181837E-15</v>
      </c>
      <c r="J52" s="66">
        <f>IFERROR(VLOOKUP("Rn-222",$A$4:$L$32,10)/$B52,0)</f>
        <v>4.9501963636363648E-11</v>
      </c>
      <c r="K52" s="67">
        <f>IFERROR(VLOOKUP("Rn-222",$A$4:$L$32,11)/$B52,0)</f>
        <v>7.7486050929582288E-15</v>
      </c>
    </row>
    <row r="53" spans="1:11">
      <c r="A53" s="31" t="s">
        <v>154</v>
      </c>
      <c r="B53" s="32">
        <v>1</v>
      </c>
      <c r="C53" s="65">
        <f>IFERROR(VLOOKUP("Po-218",$A$4:$L$32,3)/$B53,0)</f>
        <v>2.4935064935064939E-3</v>
      </c>
      <c r="D53" s="66">
        <f>IFERROR(VLOOKUP("Po-218",$A$4:$L$32,4)/$B53,0)</f>
        <v>15.927272727272729</v>
      </c>
      <c r="E53" s="67">
        <f t="shared" si="57"/>
        <v>2.4931161817754919E-3</v>
      </c>
      <c r="F53" s="65">
        <f>IFERROR(VLOOKUP("Po-218",$A$4:$L$32,6)/$B53,0)</f>
        <v>9.2259740259740359E-5</v>
      </c>
      <c r="G53" s="66">
        <f>IFERROR(VLOOKUP("Po-218",$A$4:$L$32,7)/$B53,0)</f>
        <v>0.58930909090909156</v>
      </c>
      <c r="H53" s="67">
        <f t="shared" si="58"/>
        <v>9.2245298725693279E-5</v>
      </c>
      <c r="I53" s="65">
        <f>IFERROR(VLOOKUP("Po-218",$A$4:$L$32,9)/$B53,0)</f>
        <v>7.6101818181818198E-15</v>
      </c>
      <c r="J53" s="66">
        <f>IFERROR(VLOOKUP("Po-218",$A$4:$L$32,10)/$B53,0)</f>
        <v>4.8610036363636374E-11</v>
      </c>
      <c r="K53" s="67">
        <f>IFERROR(VLOOKUP("Po-218",$A$4:$L$32,11)/$B53,0)</f>
        <v>7.6089905867788022E-15</v>
      </c>
    </row>
    <row r="54" spans="1:11">
      <c r="A54" s="31" t="s">
        <v>156</v>
      </c>
      <c r="B54" s="32">
        <v>2.0000000000000001E-4</v>
      </c>
      <c r="C54" s="65">
        <f>IFERROR(VLOOKUP("At-218",$A$4:$L$32,3)/$B54,0)</f>
        <v>12.467532467532468</v>
      </c>
      <c r="D54" s="66">
        <f>IFERROR(VLOOKUP("At-218",$A$4:$L$32,4)/$B54,0)</f>
        <v>79636.363636363647</v>
      </c>
      <c r="E54" s="67">
        <f>IFERROR(IF(AND(C54&lt;&gt;0,D54&lt;&gt;0),(1/((1/C54)+(1/D54))),IF(AND(C54&lt;&gt;0,D54=0),(1/(1/C54)),IF(AND(C54=0,D54&lt;&gt;0),(1/(1/D54)),0))),0)</f>
        <v>12.46558090887746</v>
      </c>
      <c r="F54" s="65">
        <f>IFERROR(VLOOKUP("At-218",$A$4:$L$32,6)/$B54,0)</f>
        <v>0.46129870129870176</v>
      </c>
      <c r="G54" s="66">
        <f>IFERROR(VLOOKUP("At-218",$A$4:$L$32,7)/$B54,0)</f>
        <v>2946.5454545454577</v>
      </c>
      <c r="H54" s="67">
        <f>IFERROR(IF(AND(F54&lt;&gt;0,G54&lt;&gt;0),(1/((1/F54)+(1/G54))),IF(AND(F54&lt;&gt;0,G54=0),(1/(1/F54)),IF(AND(F54=0,G54&lt;&gt;0),(1/(1/G54)),0))),0)</f>
        <v>0.46122649362846641</v>
      </c>
      <c r="I54" s="65">
        <f>IFERROR(VLOOKUP("At-218",$A$4:$L$32,9)/$B54,0)</f>
        <v>3.8050909090909096E-11</v>
      </c>
      <c r="J54" s="66">
        <f>IFERROR(VLOOKUP("At-218",$A$4:$L$32,10)/$B54,0)</f>
        <v>2.4305018181818186E-7</v>
      </c>
      <c r="K54" s="67">
        <f>IFERROR(VLOOKUP("At-218",$A$4:$L$32,11)/$B54,0)</f>
        <v>3.8044952933894008E-11</v>
      </c>
    </row>
    <row r="55" spans="1:11">
      <c r="A55" s="31" t="s">
        <v>158</v>
      </c>
      <c r="B55" s="32">
        <v>1.9999999999999999E-7</v>
      </c>
      <c r="C55" s="65">
        <f>IFERROR(VLOOKUP("Rn-218",$A$4:$L$32,3)/$B55,0)</f>
        <v>12467.53246753247</v>
      </c>
      <c r="D55" s="66">
        <f>IFERROR(VLOOKUP("Rn-218",$A$4:$L$32,4)/$B55,0)</f>
        <v>79636363.636363655</v>
      </c>
      <c r="E55" s="67">
        <f>IFERROR(IF(AND(C55&lt;&gt;0,D55&lt;&gt;0),(1/((1/C55)+(1/D55))),IF(AND(C55&lt;&gt;0,D55=0),(1/(1/C55)),IF(AND(C55=0,D55&lt;&gt;0),(1/(1/D55)),0))),0)</f>
        <v>12465.58090887746</v>
      </c>
      <c r="F55" s="65">
        <f>IFERROR(VLOOKUP("Rn-218",$A$4:$L$32,6)/$B55,0)</f>
        <v>461.29870129870181</v>
      </c>
      <c r="G55" s="66">
        <f>IFERROR(VLOOKUP("Rn-218",$A$4:$L$32,7)/$B55,0)</f>
        <v>2946545.4545454578</v>
      </c>
      <c r="H55" s="67">
        <f>IFERROR(IF(AND(F55&lt;&gt;0,G55&lt;&gt;0),(1/((1/F55)+(1/G55))),IF(AND(F55&lt;&gt;0,G55=0),(1/(1/F55)),IF(AND(F55=0,G55&lt;&gt;0),(1/(1/G55)),0))),0)</f>
        <v>461.22649362846647</v>
      </c>
      <c r="I55" s="65">
        <f>IFERROR(VLOOKUP("Rn-218",$A$4:$L$32,9)/$B55,0)</f>
        <v>3.8050909090909103E-8</v>
      </c>
      <c r="J55" s="66">
        <f>IFERROR(VLOOKUP("Rn-218",$A$4:$L$32,10)/$B55,0)</f>
        <v>2.4305018181818187E-4</v>
      </c>
      <c r="K55" s="67">
        <f>IFERROR(VLOOKUP("Rn-218",$A$4:$L$32,11)/$B55,0)</f>
        <v>3.8044952933894011E-8</v>
      </c>
    </row>
    <row r="56" spans="1:11">
      <c r="A56" s="31" t="s">
        <v>155</v>
      </c>
      <c r="B56" s="32">
        <v>0.99980000000000002</v>
      </c>
      <c r="C56" s="65">
        <f>IFERROR(VLOOKUP("Pb-214",$A$4:$L$32,3)/$B56,0)</f>
        <v>2.4940052945654069E-3</v>
      </c>
      <c r="D56" s="66">
        <f>IFERROR(VLOOKUP("Pb-214",$A$4:$L$32,4)/$B56,0)</f>
        <v>15.930458819036536</v>
      </c>
      <c r="E56" s="67">
        <f t="shared" si="57"/>
        <v>2.4936149047564433E-3</v>
      </c>
      <c r="F56" s="65">
        <f>IFERROR(VLOOKUP("Pb-214",$A$4:$L$32,6)/$B56,0)</f>
        <v>9.2278195898920146E-5</v>
      </c>
      <c r="G56" s="66">
        <f>IFERROR(VLOOKUP("Pb-214",$A$4:$L$32,7)/$B56,0)</f>
        <v>0.58942697630435237</v>
      </c>
      <c r="H56" s="67">
        <f t="shared" si="58"/>
        <v>9.2263751475988472E-5</v>
      </c>
      <c r="I56" s="65">
        <f>IFERROR(VLOOKUP("Pb-214",$A$4:$L$32,9)/$B56,0)</f>
        <v>7.4720398625179595E-15</v>
      </c>
      <c r="J56" s="66">
        <f>IFERROR(VLOOKUP("Pb-214",$A$4:$L$32,10)/$B56,0)</f>
        <v>4.7727654621833474E-11</v>
      </c>
      <c r="K56" s="67">
        <f>IFERROR(VLOOKUP("Pb-214",$A$4:$L$32,11)/$B56,0)</f>
        <v>7.4708702546503033E-15</v>
      </c>
    </row>
    <row r="57" spans="1:11">
      <c r="A57" s="31" t="s">
        <v>157</v>
      </c>
      <c r="B57" s="32">
        <v>0.99999979999999999</v>
      </c>
      <c r="C57" s="65">
        <f>IFERROR(VLOOKUP("Bi-214",$A$4:$L$32,3)/$B57,0)</f>
        <v>2.4935069922078922E-3</v>
      </c>
      <c r="D57" s="66">
        <f>IFERROR(VLOOKUP("Bi-214",$A$4:$L$32,4)/$B57,0)</f>
        <v>15.927275912727913</v>
      </c>
      <c r="E57" s="67">
        <f t="shared" si="57"/>
        <v>2.4931166803988276E-3</v>
      </c>
      <c r="F57" s="65">
        <f>IFERROR(VLOOKUP("Bi-214",$A$4:$L$32,6)/$B57,0)</f>
        <v>9.2259758711692104E-5</v>
      </c>
      <c r="G57" s="66">
        <f>IFERROR(VLOOKUP("Bi-214",$A$4:$L$32,7)/$B57,0)</f>
        <v>0.58930920877093329</v>
      </c>
      <c r="H57" s="67">
        <f t="shared" si="58"/>
        <v>9.2245317174756723E-5</v>
      </c>
      <c r="I57" s="65">
        <f>IFERROR(VLOOKUP("Bi-214",$A$4:$L$32,9)/$B57,0)</f>
        <v>7.4705469486548451E-15</v>
      </c>
      <c r="J57" s="66">
        <f>IFERROR(VLOOKUP("Bi-214",$A$4:$L$32,10)/$B57,0)</f>
        <v>4.771811863453283E-11</v>
      </c>
      <c r="K57" s="67">
        <f>IFERROR(VLOOKUP("Bi-214",$A$4:$L$32,11)/$B57,0)</f>
        <v>7.4693775744748896E-15</v>
      </c>
    </row>
    <row r="58" spans="1:11">
      <c r="A58" s="31" t="s">
        <v>159</v>
      </c>
      <c r="B58" s="32">
        <v>0.99979000004200003</v>
      </c>
      <c r="C58" s="65">
        <f>IFERROR(VLOOKUP("Po-214",$A$4:$L$32,3)/$B58,0)</f>
        <v>2.4940302397520923E-3</v>
      </c>
      <c r="D58" s="66">
        <f>IFERROR(VLOOKUP("Po-214",$A$4:$L$32,4)/$B58,0)</f>
        <v>15.930618156416491</v>
      </c>
      <c r="E58" s="67">
        <f t="shared" si="57"/>
        <v>2.4936398460384266E-3</v>
      </c>
      <c r="F58" s="65">
        <f>IFERROR(VLOOKUP("Po-214",$A$4:$L$32,6)/$B58,0)</f>
        <v>9.2279118870827503E-5</v>
      </c>
      <c r="G58" s="66">
        <f>IFERROR(VLOOKUP("Po-214",$A$4:$L$32,7)/$B58,0)</f>
        <v>0.58943287178741077</v>
      </c>
      <c r="H58" s="67">
        <f t="shared" si="58"/>
        <v>9.2264674303421893E-5</v>
      </c>
      <c r="I58" s="65">
        <f>IFERROR(VLOOKUP("Po-214",$A$4:$L$32,9)/$B58,0)</f>
        <v>7.4721145982972688E-15</v>
      </c>
      <c r="J58" s="66">
        <f>IFERROR(VLOOKUP("Po-214",$A$4:$L$32,10)/$B58,0)</f>
        <v>4.7728131996623811E-11</v>
      </c>
      <c r="K58" s="67">
        <f>IFERROR(VLOOKUP("Po-214",$A$4:$L$32,11)/$B58,0)</f>
        <v>7.4709449787311273E-15</v>
      </c>
    </row>
    <row r="59" spans="1:11">
      <c r="A59" s="31" t="s">
        <v>160</v>
      </c>
      <c r="B59" s="32">
        <v>2.0999995799999999E-4</v>
      </c>
      <c r="C59" s="65">
        <f>IFERROR(VLOOKUP("Tl-210",$A$4:$L$32,3)/$B59,0)</f>
        <v>11.873842820037583</v>
      </c>
      <c r="D59" s="66">
        <f>IFERROR(VLOOKUP("Tl-210",$A$4:$L$32,4)/$B59,0)</f>
        <v>75844.17101299006</v>
      </c>
      <c r="E59" s="67">
        <f t="shared" si="57"/>
        <v>11.87198419237537</v>
      </c>
      <c r="F59" s="65">
        <f>IFERROR(VLOOKUP("Tl-210",$A$4:$L$32,6)/$B59,0)</f>
        <v>0.43933218434139099</v>
      </c>
      <c r="G59" s="66">
        <f>IFERROR(VLOOKUP("Tl-210",$A$4:$L$32,7)/$B59,0)</f>
        <v>2806.2343274806349</v>
      </c>
      <c r="H59" s="67">
        <f t="shared" si="58"/>
        <v>0.43926341511788913</v>
      </c>
      <c r="I59" s="65">
        <f>IFERROR(VLOOKUP("Tl-210",$A$4:$L$32,9)/$B59,0)</f>
        <v>3.4909097890910492E-11</v>
      </c>
      <c r="J59" s="66">
        <f>IFERROR(VLOOKUP("Tl-210",$A$4:$L$32,10)/$B59,0)</f>
        <v>2.2298186277819083E-7</v>
      </c>
      <c r="K59" s="67">
        <f>IFERROR(VLOOKUP("Tl-210",$A$4:$L$32,11)/$B59,0)</f>
        <v>3.4903633525583589E-11</v>
      </c>
    </row>
    <row r="60" spans="1:11">
      <c r="A60" s="31" t="s">
        <v>161</v>
      </c>
      <c r="B60" s="32">
        <v>1</v>
      </c>
      <c r="C60" s="65">
        <f>IFERROR(VLOOKUP("Pb-210",$A$4:$L$32,3)/$B60,0)</f>
        <v>2.4935064935064939E-3</v>
      </c>
      <c r="D60" s="66">
        <f>IFERROR(VLOOKUP("Pb-210",$A$4:$L$32,4)/$B60,0)</f>
        <v>15.927272727272729</v>
      </c>
      <c r="E60" s="67">
        <f t="shared" si="57"/>
        <v>2.4931161817754919E-3</v>
      </c>
      <c r="F60" s="65">
        <f>IFERROR(VLOOKUP("Pb-210",$A$4:$L$32,6)/$B60,0)</f>
        <v>9.2259740259740359E-5</v>
      </c>
      <c r="G60" s="66">
        <f>IFERROR(VLOOKUP("Pb-210",$A$4:$L$32,7)/$B60,0)</f>
        <v>0.58930909090909156</v>
      </c>
      <c r="H60" s="67">
        <f t="shared" si="58"/>
        <v>9.2245298725693279E-5</v>
      </c>
      <c r="I60" s="65">
        <f>IFERROR(VLOOKUP("Pb-210",$A$4:$L$32,9)/$B60,0)</f>
        <v>7.330909090909092E-15</v>
      </c>
      <c r="J60" s="66">
        <f>IFERROR(VLOOKUP("Pb-210",$A$4:$L$32,10)/$B60,0)</f>
        <v>4.6826181818181831E-11</v>
      </c>
      <c r="K60" s="67">
        <f>IFERROR(VLOOKUP("Pb-210",$A$4:$L$32,11)/$B60,0)</f>
        <v>7.3297615744199458E-15</v>
      </c>
    </row>
    <row r="61" spans="1:11">
      <c r="A61" s="31" t="s">
        <v>162</v>
      </c>
      <c r="B61" s="32">
        <v>1</v>
      </c>
      <c r="C61" s="65">
        <f>IFERROR(VLOOKUP("Bi-210",$A$4:$L$32,3)/$B61,0)</f>
        <v>2.4935064935064939E-3</v>
      </c>
      <c r="D61" s="66">
        <f>IFERROR(VLOOKUP("Bi-210",$A$4:$L$32,4)/$B61,0)</f>
        <v>15.927272727272729</v>
      </c>
      <c r="E61" s="67">
        <f t="shared" si="57"/>
        <v>2.4931161817754919E-3</v>
      </c>
      <c r="F61" s="65">
        <f>IFERROR(VLOOKUP("Bi-210",$A$4:$L$32,6)/$B61,0)</f>
        <v>9.2259740259740359E-5</v>
      </c>
      <c r="G61" s="66">
        <f>IFERROR(VLOOKUP("Bi-210",$A$4:$L$32,7)/$B61,0)</f>
        <v>0.58930909090909156</v>
      </c>
      <c r="H61" s="67">
        <f t="shared" si="58"/>
        <v>9.2245298725693279E-5</v>
      </c>
      <c r="I61" s="65">
        <f>IFERROR(VLOOKUP("Bi-210",$A$4:$L$32,9)/$B61,0)</f>
        <v>7.330909090909092E-15</v>
      </c>
      <c r="J61" s="66">
        <f>IFERROR(VLOOKUP("Bi-210",$A$4:$L$32,10)/$B61,0)</f>
        <v>4.6826181818181831E-11</v>
      </c>
      <c r="K61" s="67">
        <f>IFERROR(VLOOKUP("Bi-210",$A$4:$L$32,11)/$B61,0)</f>
        <v>7.3297615744199458E-15</v>
      </c>
    </row>
    <row r="62" spans="1:11">
      <c r="A62" s="31" t="s">
        <v>164</v>
      </c>
      <c r="B62" s="32">
        <v>1</v>
      </c>
      <c r="C62" s="65">
        <f>IFERROR(VLOOKUP("Po-210",$A$4:$L$32,3)/$B62,0)</f>
        <v>2.4935064935064939E-3</v>
      </c>
      <c r="D62" s="66">
        <f>IFERROR(VLOOKUP("Po-210",$A$4:$L$32,4)/$B62,0)</f>
        <v>15.927272727272729</v>
      </c>
      <c r="E62" s="67">
        <f>IFERROR(IF(AND(C62&lt;&gt;0,D62&lt;&gt;0),(1/((1/C62)+(1/D62))),IF(AND(C62&lt;&gt;0,D62=0),(1/(1/C62)),IF(AND(C62=0,D62&lt;&gt;0),(1/(1/D62)),0))),0)</f>
        <v>2.4931161817754919E-3</v>
      </c>
      <c r="F62" s="65">
        <f>IFERROR(VLOOKUP("Po-210",$A$4:$L$32,6)/$B62,0)</f>
        <v>9.2259740259740359E-5</v>
      </c>
      <c r="G62" s="66">
        <f>IFERROR(VLOOKUP("Po-210",$A$4:$L$32,7)/$B62,0)</f>
        <v>0.58930909090909156</v>
      </c>
      <c r="H62" s="67">
        <f>IFERROR(IF(AND(F62&lt;&gt;0,G62&lt;&gt;0),(1/((1/F62)+(1/G62))),IF(AND(F62&lt;&gt;0,G62=0),(1/(1/F62)),IF(AND(F62=0,G62&lt;&gt;0),(1/(1/G62)),0))),0)</f>
        <v>9.2245298725693279E-5</v>
      </c>
      <c r="I62" s="65">
        <f>IFERROR(VLOOKUP("Po-210",$A$4:$L$32,9)/$B62,0)</f>
        <v>7.330909090909092E-15</v>
      </c>
      <c r="J62" s="66">
        <f>IFERROR(VLOOKUP("Po-210",$A$4:$L$32,10)/$B62,0)</f>
        <v>4.6826181818181831E-11</v>
      </c>
      <c r="K62" s="67">
        <f>IFERROR(VLOOKUP("Po-210",$A$4:$L$32,11)/$B62,0)</f>
        <v>7.3297615744199458E-15</v>
      </c>
    </row>
    <row r="63" spans="1:11">
      <c r="A63" s="31" t="s">
        <v>163</v>
      </c>
      <c r="B63" s="34">
        <v>1.9000000000000001E-8</v>
      </c>
      <c r="C63" s="65">
        <f>IFERROR(VLOOKUP("Hg-206",$A$4:$L$32,3)/$B63,0)</f>
        <v>131237.18386876283</v>
      </c>
      <c r="D63" s="66">
        <f>IFERROR(VLOOKUP("Hg-206",$A$4:$L$32,4)/$B63,0)</f>
        <v>838277511.96172249</v>
      </c>
      <c r="E63" s="67">
        <f t="shared" si="57"/>
        <v>131216.64114607853</v>
      </c>
      <c r="F63" s="65">
        <f>IFERROR(VLOOKUP("Hg-206",$A$4:$L$32,6)/$B63,0)</f>
        <v>4855.775803144229</v>
      </c>
      <c r="G63" s="66">
        <f>IFERROR(VLOOKUP("Hg-206",$A$4:$L$32,7)/$B63,0)</f>
        <v>31016267.942583766</v>
      </c>
      <c r="H63" s="67">
        <f t="shared" si="58"/>
        <v>4855.015722404909</v>
      </c>
      <c r="I63" s="65">
        <f>IFERROR(VLOOKUP("Hg-206",$A$4:$L$32,9)/$B63,0)</f>
        <v>3.78488038277512E-7</v>
      </c>
      <c r="J63" s="66">
        <f>IFERROR(VLOOKUP("Hg-206",$A$4:$L$32,10)/$B63,0)</f>
        <v>2.417592344497608E-3</v>
      </c>
      <c r="K63" s="67">
        <f>IFERROR(VLOOKUP("Hg-206",$A$4:$L$32,11)/$B63,0)</f>
        <v>3.7842879306529046E-7</v>
      </c>
    </row>
    <row r="64" spans="1:11">
      <c r="A64" s="31" t="s">
        <v>165</v>
      </c>
      <c r="B64" s="32">
        <v>1.339E-6</v>
      </c>
      <c r="C64" s="65">
        <f>IFERROR(VLOOKUP("Tl-206",$A$4:$L$32,3)/$B64,0)</f>
        <v>1862.2154544484645</v>
      </c>
      <c r="D64" s="66">
        <f>IFERROR(VLOOKUP("Tl-206",$A$4:$L$32,4)/$B64,0)</f>
        <v>11894901.215289567</v>
      </c>
      <c r="E64" s="67">
        <f t="shared" si="57"/>
        <v>1861.9239595037284</v>
      </c>
      <c r="F64" s="65">
        <f>IFERROR(VLOOKUP("Tl-206",$A$4:$L$32,6)/$B64,0)</f>
        <v>68.901971814593253</v>
      </c>
      <c r="G64" s="66">
        <f>IFERROR(VLOOKUP("Tl-206",$A$4:$L$32,7)/$B64,0)</f>
        <v>440111.34496571438</v>
      </c>
      <c r="H64" s="67">
        <f t="shared" si="58"/>
        <v>68.891186501638003</v>
      </c>
      <c r="I64" s="65">
        <f>IFERROR(VLOOKUP("Tl-206",$A$4:$L$32,9)/$B64,0)</f>
        <v>5.3706293706293715E-9</v>
      </c>
      <c r="J64" s="66">
        <f>IFERROR(VLOOKUP("Tl-206",$A$4:$L$32,10)/$B64,0)</f>
        <v>3.4304895104895114E-5</v>
      </c>
      <c r="K64" s="67">
        <f>IFERROR(VLOOKUP("Tl-206",$A$4:$L$32,11)/$B64,0)</f>
        <v>5.369788699208752E-9</v>
      </c>
    </row>
    <row r="65" spans="1:11">
      <c r="A65" s="30" t="s">
        <v>31</v>
      </c>
      <c r="B65" s="30" t="s">
        <v>50</v>
      </c>
      <c r="C65" s="71">
        <f t="shared" ref="C65:H65" si="59">IFERROR(1/SUM(1/C66,1/C67,1/C68,1/C69,1/C70,1/C71,1/C72,1/C73,1/C74,1/C75,1/C76,1/C77),0)</f>
        <v>3.1168831094805204E-4</v>
      </c>
      <c r="D65" s="72">
        <f t="shared" si="59"/>
        <v>1.9909090861806817</v>
      </c>
      <c r="E65" s="72">
        <f t="shared" si="59"/>
        <v>3.1163952198179259E-4</v>
      </c>
      <c r="F65" s="71">
        <f t="shared" si="59"/>
        <v>1.1532467505077933E-5</v>
      </c>
      <c r="G65" s="72">
        <f t="shared" si="59"/>
        <v>7.3663636188685308E-2</v>
      </c>
      <c r="H65" s="72">
        <f t="shared" si="59"/>
        <v>1.1530662313326338E-5</v>
      </c>
      <c r="I65" s="68">
        <f>IFERROR(C65*Isospec!$C$26*Isospec!$F$26*s_SSLcm_m,".")</f>
        <v>9.6872727042654573E-16</v>
      </c>
      <c r="J65" s="69">
        <f>IFERROR(D65*Isospec!$C$26*Isospec!$F$26*s_SSLcm_m,".")</f>
        <v>6.1877454398495592E-12</v>
      </c>
      <c r="K65" s="70">
        <f>IFERROR(E65*Isospec!$C$26*Isospec!$F$26*s_SSLcm_m,".")</f>
        <v>9.6857563431941149E-16</v>
      </c>
    </row>
    <row r="66" spans="1:11">
      <c r="A66" s="31" t="s">
        <v>153</v>
      </c>
      <c r="B66" s="32">
        <v>1</v>
      </c>
      <c r="C66" s="65">
        <f>IFERROR(VLOOKUP("Rn-222",$A$4:$L$32,3)/$B66,0)</f>
        <v>2.4935064935064939E-3</v>
      </c>
      <c r="D66" s="66">
        <f>IFERROR(VLOOKUP("Rn-222",$A$4:$L$32,4)/$B66,0)</f>
        <v>15.927272727272729</v>
      </c>
      <c r="E66" s="67">
        <f t="shared" ref="E66:E67" si="60">IFERROR(IF(AND(C66&lt;&gt;0,D66&lt;&gt;0),(1/((1/C66)+(1/D66))),IF(AND(C66&lt;&gt;0,D66=0),(1/(1/C66)),IF(AND(C66=0,D66&lt;&gt;0),(1/(1/D66)),0))),0)</f>
        <v>2.4931161817754919E-3</v>
      </c>
      <c r="F66" s="65">
        <f>IFERROR(VLOOKUP("Rn-222",$A$4:$L$32,6)/$B66,0)</f>
        <v>9.2259740259740359E-5</v>
      </c>
      <c r="G66" s="66">
        <f>IFERROR(VLOOKUP("Rn-222",$A$4:$L$32,7)/$B66,0)</f>
        <v>0.58930909090909156</v>
      </c>
      <c r="H66" s="67">
        <f t="shared" ref="H66:H67" si="61">IFERROR(IF(AND(F66&lt;&gt;0,G66&lt;&gt;0),(1/((1/F66)+(1/G66))),IF(AND(F66&lt;&gt;0,G66=0),(1/(1/F66)),IF(AND(F66=0,G66&lt;&gt;0),(1/(1/G66)),0))),0)</f>
        <v>9.2245298725693279E-5</v>
      </c>
      <c r="I66" s="65">
        <f>IFERROR(VLOOKUP("Rn-222",$A$4:$L$32,9)/$B66,0)</f>
        <v>7.7498181818181837E-15</v>
      </c>
      <c r="J66" s="66">
        <f>IFERROR(VLOOKUP("Rn-222",$A$4:$L$32,10)/$B66,0)</f>
        <v>4.9501963636363648E-11</v>
      </c>
      <c r="K66" s="67">
        <f>IFERROR(VLOOKUP("Rn-222",$A$4:$L$32,11)/$B66,0)</f>
        <v>7.7486050929582288E-15</v>
      </c>
    </row>
    <row r="67" spans="1:11">
      <c r="A67" s="31" t="s">
        <v>154</v>
      </c>
      <c r="B67" s="32">
        <v>1</v>
      </c>
      <c r="C67" s="65">
        <f>IFERROR(VLOOKUP("Po-218",$A$4:$L$32,3)/$B67,0)</f>
        <v>2.4935064935064939E-3</v>
      </c>
      <c r="D67" s="66">
        <f>IFERROR(VLOOKUP("Po-218",$A$4:$L$32,4)/$B67,0)</f>
        <v>15.927272727272729</v>
      </c>
      <c r="E67" s="67">
        <f t="shared" si="60"/>
        <v>2.4931161817754919E-3</v>
      </c>
      <c r="F67" s="65">
        <f>IFERROR(VLOOKUP("Po-218",$A$4:$L$32,6)/$B67,0)</f>
        <v>9.2259740259740359E-5</v>
      </c>
      <c r="G67" s="66">
        <f>IFERROR(VLOOKUP("Po-218",$A$4:$L$32,7)/$B67,0)</f>
        <v>0.58930909090909156</v>
      </c>
      <c r="H67" s="67">
        <f t="shared" si="61"/>
        <v>9.2245298725693279E-5</v>
      </c>
      <c r="I67" s="65">
        <f>IFERROR(VLOOKUP("Po-218",$A$4:$L$32,9)/$B67,0)</f>
        <v>7.6101818181818198E-15</v>
      </c>
      <c r="J67" s="66">
        <f>IFERROR(VLOOKUP("Po-218",$A$4:$L$32,10)/$B67,0)</f>
        <v>4.8610036363636374E-11</v>
      </c>
      <c r="K67" s="67">
        <f>IFERROR(VLOOKUP("Po-218",$A$4:$L$32,11)/$B67,0)</f>
        <v>7.6089905867788022E-15</v>
      </c>
    </row>
    <row r="68" spans="1:11">
      <c r="A68" s="31" t="s">
        <v>156</v>
      </c>
      <c r="B68" s="32">
        <v>2.0000000000000001E-4</v>
      </c>
      <c r="C68" s="65">
        <f>IFERROR(VLOOKUP("At-218",$A$4:$L$32,3)/$B68,0)</f>
        <v>12.467532467532468</v>
      </c>
      <c r="D68" s="66">
        <f>IFERROR(VLOOKUP("At-218",$A$4:$L$32,4)/$B68,0)</f>
        <v>79636.363636363647</v>
      </c>
      <c r="E68" s="67">
        <f>IFERROR(IF(AND(C68&lt;&gt;0,D68&lt;&gt;0),(1/((1/C68)+(1/D68))),IF(AND(C68&lt;&gt;0,D68=0),(1/(1/C68)),IF(AND(C68=0,D68&lt;&gt;0),(1/(1/D68)),0))),0)</f>
        <v>12.46558090887746</v>
      </c>
      <c r="F68" s="65">
        <f>IFERROR(VLOOKUP("At-218",$A$4:$L$32,6)/$B68,0)</f>
        <v>0.46129870129870176</v>
      </c>
      <c r="G68" s="66">
        <f>IFERROR(VLOOKUP("At-218",$A$4:$L$32,7)/$B68,0)</f>
        <v>2946.5454545454577</v>
      </c>
      <c r="H68" s="67">
        <f>IFERROR(IF(AND(F68&lt;&gt;0,G68&lt;&gt;0),(1/((1/F68)+(1/G68))),IF(AND(F68&lt;&gt;0,G68=0),(1/(1/F68)),IF(AND(F68=0,G68&lt;&gt;0),(1/(1/G68)),0))),0)</f>
        <v>0.46122649362846641</v>
      </c>
      <c r="I68" s="65">
        <f>IFERROR(VLOOKUP("At-218",$A$4:$L$32,9)/$B68,0)</f>
        <v>3.8050909090909096E-11</v>
      </c>
      <c r="J68" s="66">
        <f>IFERROR(VLOOKUP("At-218",$A$4:$L$32,10)/$B68,0)</f>
        <v>2.4305018181818186E-7</v>
      </c>
      <c r="K68" s="67">
        <f>IFERROR(VLOOKUP("At-218",$A$4:$L$32,11)/$B68,0)</f>
        <v>3.8044952933894008E-11</v>
      </c>
    </row>
    <row r="69" spans="1:11">
      <c r="A69" s="31" t="s">
        <v>158</v>
      </c>
      <c r="B69" s="32">
        <v>1.9999999999999999E-7</v>
      </c>
      <c r="C69" s="65">
        <f>IFERROR(VLOOKUP("Rn-218",$A$4:$L$32,3)/$B69,0)</f>
        <v>12467.53246753247</v>
      </c>
      <c r="D69" s="66">
        <f>IFERROR(VLOOKUP("Rn-218",$A$4:$L$32,4)/$B69,0)</f>
        <v>79636363.636363655</v>
      </c>
      <c r="E69" s="67">
        <f>IFERROR(IF(AND(C69&lt;&gt;0,D69&lt;&gt;0),(1/((1/C69)+(1/D69))),IF(AND(C69&lt;&gt;0,D69=0),(1/(1/C69)),IF(AND(C69=0,D69&lt;&gt;0),(1/(1/D69)),0))),0)</f>
        <v>12465.58090887746</v>
      </c>
      <c r="F69" s="65">
        <f>IFERROR(VLOOKUP("Rn-218",$A$4:$L$32,6)/$B69,0)</f>
        <v>461.29870129870181</v>
      </c>
      <c r="G69" s="66">
        <f>IFERROR(VLOOKUP("Rn-218",$A$4:$L$32,7)/$B69,0)</f>
        <v>2946545.4545454578</v>
      </c>
      <c r="H69" s="67">
        <f>IFERROR(IF(AND(F69&lt;&gt;0,G69&lt;&gt;0),(1/((1/F69)+(1/G69))),IF(AND(F69&lt;&gt;0,G69=0),(1/(1/F69)),IF(AND(F69=0,G69&lt;&gt;0),(1/(1/G69)),0))),0)</f>
        <v>461.22649362846647</v>
      </c>
      <c r="I69" s="65">
        <f>IFERROR(VLOOKUP("Rn-218",$A$4:$L$32,9)/$B69,0)</f>
        <v>3.8050909090909103E-8</v>
      </c>
      <c r="J69" s="66">
        <f>IFERROR(VLOOKUP("Rn-218",$A$4:$L$32,10)/$B69,0)</f>
        <v>2.4305018181818187E-4</v>
      </c>
      <c r="K69" s="67">
        <f>IFERROR(VLOOKUP("Rn-218",$A$4:$L$32,11)/$B69,0)</f>
        <v>3.8044952933894011E-8</v>
      </c>
    </row>
    <row r="70" spans="1:11">
      <c r="A70" s="31" t="s">
        <v>155</v>
      </c>
      <c r="B70" s="32">
        <v>0.99980000000000002</v>
      </c>
      <c r="C70" s="65">
        <f>IFERROR(VLOOKUP("Pb-214",$A$4:$L$32,3)/$B70,0)</f>
        <v>2.4940052945654069E-3</v>
      </c>
      <c r="D70" s="66">
        <f>IFERROR(VLOOKUP("Pb-214",$A$4:$L$32,4)/$B70,0)</f>
        <v>15.930458819036536</v>
      </c>
      <c r="E70" s="67">
        <f t="shared" ref="E70:E75" si="62">IFERROR(IF(AND(C70&lt;&gt;0,D70&lt;&gt;0),(1/((1/C70)+(1/D70))),IF(AND(C70&lt;&gt;0,D70=0),(1/(1/C70)),IF(AND(C70=0,D70&lt;&gt;0),(1/(1/D70)),0))),0)</f>
        <v>2.4936149047564433E-3</v>
      </c>
      <c r="F70" s="65">
        <f>IFERROR(VLOOKUP("Pb-214",$A$4:$L$32,6)/$B70,0)</f>
        <v>9.2278195898920146E-5</v>
      </c>
      <c r="G70" s="66">
        <f>IFERROR(VLOOKUP("Pb-214",$A$4:$L$32,7)/$B70,0)</f>
        <v>0.58942697630435237</v>
      </c>
      <c r="H70" s="67">
        <f t="shared" ref="H70:H75" si="63">IFERROR(IF(AND(F70&lt;&gt;0,G70&lt;&gt;0),(1/((1/F70)+(1/G70))),IF(AND(F70&lt;&gt;0,G70=0),(1/(1/F70)),IF(AND(F70=0,G70&lt;&gt;0),(1/(1/G70)),0))),0)</f>
        <v>9.2263751475988472E-5</v>
      </c>
      <c r="I70" s="65">
        <f>IFERROR(VLOOKUP("Pb-214",$A$4:$L$32,9)/$B70,0)</f>
        <v>7.4720398625179595E-15</v>
      </c>
      <c r="J70" s="66">
        <f>IFERROR(VLOOKUP("Pb-214",$A$4:$L$32,10)/$B70,0)</f>
        <v>4.7727654621833474E-11</v>
      </c>
      <c r="K70" s="67">
        <f>IFERROR(VLOOKUP("Pb-214",$A$4:$L$32,11)/$B70,0)</f>
        <v>7.4708702546503033E-15</v>
      </c>
    </row>
    <row r="71" spans="1:11">
      <c r="A71" s="31" t="s">
        <v>157</v>
      </c>
      <c r="B71" s="32">
        <v>0.99999979999999999</v>
      </c>
      <c r="C71" s="65">
        <f>IFERROR(VLOOKUP("Bi-214",$A$4:$L$32,3)/$B71,0)</f>
        <v>2.4935069922078922E-3</v>
      </c>
      <c r="D71" s="66">
        <f>IFERROR(VLOOKUP("Bi-214",$A$4:$L$32,4)/$B71,0)</f>
        <v>15.927275912727913</v>
      </c>
      <c r="E71" s="67">
        <f t="shared" si="62"/>
        <v>2.4931166803988276E-3</v>
      </c>
      <c r="F71" s="65">
        <f>IFERROR(VLOOKUP("Bi-214",$A$4:$L$32,6)/$B71,0)</f>
        <v>9.2259758711692104E-5</v>
      </c>
      <c r="G71" s="66">
        <f>IFERROR(VLOOKUP("Bi-214",$A$4:$L$32,7)/$B71,0)</f>
        <v>0.58930920877093329</v>
      </c>
      <c r="H71" s="67">
        <f t="shared" si="63"/>
        <v>9.2245317174756723E-5</v>
      </c>
      <c r="I71" s="65">
        <f>IFERROR(VLOOKUP("Bi-214",$A$4:$L$32,9)/$B71,0)</f>
        <v>7.4705469486548451E-15</v>
      </c>
      <c r="J71" s="66">
        <f>IFERROR(VLOOKUP("Bi-214",$A$4:$L$32,10)/$B71,0)</f>
        <v>4.771811863453283E-11</v>
      </c>
      <c r="K71" s="67">
        <f>IFERROR(VLOOKUP("Bi-214",$A$4:$L$32,11)/$B71,0)</f>
        <v>7.4693775744748896E-15</v>
      </c>
    </row>
    <row r="72" spans="1:11">
      <c r="A72" s="31" t="s">
        <v>159</v>
      </c>
      <c r="B72" s="32">
        <v>0.99979000004200003</v>
      </c>
      <c r="C72" s="65">
        <f>IFERROR(VLOOKUP("Po-214",$A$4:$L$32,3)/$B72,0)</f>
        <v>2.4940302397520923E-3</v>
      </c>
      <c r="D72" s="66">
        <f>IFERROR(VLOOKUP("Po-214",$A$4:$L$32,4)/$B72,0)</f>
        <v>15.930618156416491</v>
      </c>
      <c r="E72" s="67">
        <f t="shared" si="62"/>
        <v>2.4936398460384266E-3</v>
      </c>
      <c r="F72" s="65">
        <f>IFERROR(VLOOKUP("Po-214",$A$4:$L$32,6)/$B72,0)</f>
        <v>9.2279118870827503E-5</v>
      </c>
      <c r="G72" s="66">
        <f>IFERROR(VLOOKUP("Po-214",$A$4:$L$32,7)/$B72,0)</f>
        <v>0.58943287178741077</v>
      </c>
      <c r="H72" s="67">
        <f t="shared" si="63"/>
        <v>9.2264674303421893E-5</v>
      </c>
      <c r="I72" s="65">
        <f>IFERROR(VLOOKUP("Po-214",$A$4:$L$32,9)/$B72,0)</f>
        <v>7.4721145982972688E-15</v>
      </c>
      <c r="J72" s="66">
        <f>IFERROR(VLOOKUP("Po-214",$A$4:$L$32,10)/$B72,0)</f>
        <v>4.7728131996623811E-11</v>
      </c>
      <c r="K72" s="67">
        <f>IFERROR(VLOOKUP("Po-214",$A$4:$L$32,11)/$B72,0)</f>
        <v>7.4709449787311273E-15</v>
      </c>
    </row>
    <row r="73" spans="1:11">
      <c r="A73" s="31" t="s">
        <v>160</v>
      </c>
      <c r="B73" s="32">
        <v>2.0999995799999999E-4</v>
      </c>
      <c r="C73" s="65">
        <f>IFERROR(VLOOKUP("Tl-210",$A$4:$L$32,3)/$B73,0)</f>
        <v>11.873842820037583</v>
      </c>
      <c r="D73" s="66">
        <f>IFERROR(VLOOKUP("Tl-210",$A$4:$L$32,4)/$B73,0)</f>
        <v>75844.17101299006</v>
      </c>
      <c r="E73" s="67">
        <f t="shared" si="62"/>
        <v>11.87198419237537</v>
      </c>
      <c r="F73" s="65">
        <f>IFERROR(VLOOKUP("Tl-210",$A$4:$L$32,6)/$B73,0)</f>
        <v>0.43933218434139099</v>
      </c>
      <c r="G73" s="66">
        <f>IFERROR(VLOOKUP("Tl-210",$A$4:$L$32,7)/$B73,0)</f>
        <v>2806.2343274806349</v>
      </c>
      <c r="H73" s="67">
        <f t="shared" si="63"/>
        <v>0.43926341511788913</v>
      </c>
      <c r="I73" s="65">
        <f>IFERROR(VLOOKUP("Tl-210",$A$4:$L$32,9)/$B73,0)</f>
        <v>3.4909097890910492E-11</v>
      </c>
      <c r="J73" s="66">
        <f>IFERROR(VLOOKUP("Tl-210",$A$4:$L$32,10)/$B73,0)</f>
        <v>2.2298186277819083E-7</v>
      </c>
      <c r="K73" s="67">
        <f>IFERROR(VLOOKUP("Tl-210",$A$4:$L$32,11)/$B73,0)</f>
        <v>3.4903633525583589E-11</v>
      </c>
    </row>
    <row r="74" spans="1:11">
      <c r="A74" s="31" t="s">
        <v>161</v>
      </c>
      <c r="B74" s="32">
        <v>1</v>
      </c>
      <c r="C74" s="65">
        <f>IFERROR(VLOOKUP("Pb-210",$A$4:$L$32,3)/$B74,0)</f>
        <v>2.4935064935064939E-3</v>
      </c>
      <c r="D74" s="66">
        <f>IFERROR(VLOOKUP("Pb-210",$A$4:$L$32,4)/$B74,0)</f>
        <v>15.927272727272729</v>
      </c>
      <c r="E74" s="67">
        <f t="shared" si="62"/>
        <v>2.4931161817754919E-3</v>
      </c>
      <c r="F74" s="65">
        <f>IFERROR(VLOOKUP("Pb-210",$A$4:$L$32,6)/$B74,0)</f>
        <v>9.2259740259740359E-5</v>
      </c>
      <c r="G74" s="66">
        <f>IFERROR(VLOOKUP("Pb-210",$A$4:$L$32,7)/$B74,0)</f>
        <v>0.58930909090909156</v>
      </c>
      <c r="H74" s="67">
        <f t="shared" si="63"/>
        <v>9.2245298725693279E-5</v>
      </c>
      <c r="I74" s="65">
        <f>IFERROR(VLOOKUP("Pb-210",$A$4:$L$32,9)/$B74,0)</f>
        <v>7.330909090909092E-15</v>
      </c>
      <c r="J74" s="66">
        <f>IFERROR(VLOOKUP("Pb-210",$A$4:$L$32,10)/$B74,0)</f>
        <v>4.6826181818181831E-11</v>
      </c>
      <c r="K74" s="67">
        <f>IFERROR(VLOOKUP("Pb-210",$A$4:$L$32,11)/$B74,0)</f>
        <v>7.3297615744199458E-15</v>
      </c>
    </row>
    <row r="75" spans="1:11">
      <c r="A75" s="31" t="s">
        <v>162</v>
      </c>
      <c r="B75" s="32">
        <v>1</v>
      </c>
      <c r="C75" s="65">
        <f>IFERROR(VLOOKUP("Bi-210",$A$4:$L$32,3)/$B75,0)</f>
        <v>2.4935064935064939E-3</v>
      </c>
      <c r="D75" s="66">
        <f>IFERROR(VLOOKUP("Bi-210",$A$4:$L$32,4)/$B75,0)</f>
        <v>15.927272727272729</v>
      </c>
      <c r="E75" s="67">
        <f t="shared" si="62"/>
        <v>2.4931161817754919E-3</v>
      </c>
      <c r="F75" s="65">
        <f>IFERROR(VLOOKUP("Bi-210",$A$4:$L$32,6)/$B75,0)</f>
        <v>9.2259740259740359E-5</v>
      </c>
      <c r="G75" s="66">
        <f>IFERROR(VLOOKUP("Bi-210",$A$4:$L$32,7)/$B75,0)</f>
        <v>0.58930909090909156</v>
      </c>
      <c r="H75" s="67">
        <f t="shared" si="63"/>
        <v>9.2245298725693279E-5</v>
      </c>
      <c r="I75" s="65">
        <f>IFERROR(VLOOKUP("Bi-210",$A$4:$L$32,9)/$B75,0)</f>
        <v>7.330909090909092E-15</v>
      </c>
      <c r="J75" s="66">
        <f>IFERROR(VLOOKUP("Bi-210",$A$4:$L$32,10)/$B75,0)</f>
        <v>4.6826181818181831E-11</v>
      </c>
      <c r="K75" s="67">
        <f>IFERROR(VLOOKUP("Bi-210",$A$4:$L$32,11)/$B75,0)</f>
        <v>7.3297615744199458E-15</v>
      </c>
    </row>
    <row r="76" spans="1:11">
      <c r="A76" s="31" t="s">
        <v>164</v>
      </c>
      <c r="B76" s="32">
        <v>1</v>
      </c>
      <c r="C76" s="65">
        <f>IFERROR(VLOOKUP("Po-210",$A$4:$L$32,3)/$B76,0)</f>
        <v>2.4935064935064939E-3</v>
      </c>
      <c r="D76" s="66">
        <f>IFERROR(VLOOKUP("Po-210",$A$4:$L$32,4)/$B76,0)</f>
        <v>15.927272727272729</v>
      </c>
      <c r="E76" s="67">
        <f>IFERROR(IF(AND(C76&lt;&gt;0,D76&lt;&gt;0),(1/((1/C76)+(1/D76))),IF(AND(C76&lt;&gt;0,D76=0),(1/(1/C76)),IF(AND(C76=0,D76&lt;&gt;0),(1/(1/D76)),0))),0)</f>
        <v>2.4931161817754919E-3</v>
      </c>
      <c r="F76" s="65">
        <f>IFERROR(VLOOKUP("Po-210",$A$4:$L$32,6)/$B76,0)</f>
        <v>9.2259740259740359E-5</v>
      </c>
      <c r="G76" s="66">
        <f>IFERROR(VLOOKUP("Po-210",$A$4:$L$32,7)/$B76,0)</f>
        <v>0.58930909090909156</v>
      </c>
      <c r="H76" s="67">
        <f>IFERROR(IF(AND(F76&lt;&gt;0,G76&lt;&gt;0),(1/((1/F76)+(1/G76))),IF(AND(F76&lt;&gt;0,G76=0),(1/(1/F76)),IF(AND(F76=0,G76&lt;&gt;0),(1/(1/G76)),0))),0)</f>
        <v>9.2245298725693279E-5</v>
      </c>
      <c r="I76" s="65">
        <f>IFERROR(VLOOKUP("Po-210",$A$4:$L$32,9)/$B76,0)</f>
        <v>7.330909090909092E-15</v>
      </c>
      <c r="J76" s="66">
        <f>IFERROR(VLOOKUP("Po-210",$A$4:$L$32,10)/$B76,0)</f>
        <v>4.6826181818181831E-11</v>
      </c>
      <c r="K76" s="67">
        <f>IFERROR(VLOOKUP("Po-210",$A$4:$L$32,11)/$B76,0)</f>
        <v>7.3297615744199458E-15</v>
      </c>
    </row>
    <row r="77" spans="1:11">
      <c r="A77" s="31" t="s">
        <v>163</v>
      </c>
      <c r="B77" s="34">
        <v>1.9000000000000001E-8</v>
      </c>
      <c r="C77" s="65">
        <f>IFERROR(VLOOKUP("Hg-206",$A$4:$L$32,3)/$B77,0)</f>
        <v>131237.18386876283</v>
      </c>
      <c r="D77" s="66">
        <f>IFERROR(VLOOKUP("Hg-206",$A$4:$L$32,4)/$B77,0)</f>
        <v>838277511.96172249</v>
      </c>
      <c r="E77" s="67">
        <f t="shared" ref="E77:E78" si="64">IFERROR(IF(AND(C77&lt;&gt;0,D77&lt;&gt;0),(1/((1/C77)+(1/D77))),IF(AND(C77&lt;&gt;0,D77=0),(1/(1/C77)),IF(AND(C77=0,D77&lt;&gt;0),(1/(1/D77)),0))),0)</f>
        <v>131216.64114607853</v>
      </c>
      <c r="F77" s="65">
        <f>IFERROR(VLOOKUP("Hg-206",$A$4:$L$32,6)/$B77,0)</f>
        <v>4855.775803144229</v>
      </c>
      <c r="G77" s="66">
        <f>IFERROR(VLOOKUP("Hg-206",$A$4:$L$32,7)/$B77,0)</f>
        <v>31016267.942583766</v>
      </c>
      <c r="H77" s="67">
        <f t="shared" ref="H77:H78" si="65">IFERROR(IF(AND(F77&lt;&gt;0,G77&lt;&gt;0),(1/((1/F77)+(1/G77))),IF(AND(F77&lt;&gt;0,G77=0),(1/(1/F77)),IF(AND(F77=0,G77&lt;&gt;0),(1/(1/G77)),0))),0)</f>
        <v>4855.015722404909</v>
      </c>
      <c r="I77" s="65">
        <f>IFERROR(VLOOKUP("Hg-206",$A$4:$L$32,9)/$B77,0)</f>
        <v>3.78488038277512E-7</v>
      </c>
      <c r="J77" s="66">
        <f>IFERROR(VLOOKUP("Hg-206",$A$4:$L$32,10)/$B77,0)</f>
        <v>2.417592344497608E-3</v>
      </c>
      <c r="K77" s="67">
        <f>IFERROR(VLOOKUP("Hg-206",$A$4:$L$32,11)/$B77,0)</f>
        <v>3.7842879306529046E-7</v>
      </c>
    </row>
    <row r="78" spans="1:11">
      <c r="A78" s="31" t="s">
        <v>165</v>
      </c>
      <c r="B78" s="32">
        <v>1.339E-6</v>
      </c>
      <c r="C78" s="65">
        <f>IFERROR(VLOOKUP("Tl-206",$A$4:$L$32,3)/$B78,0)</f>
        <v>1862.2154544484645</v>
      </c>
      <c r="D78" s="66">
        <f>IFERROR(VLOOKUP("Tl-206",$A$4:$L$32,4)/$B78,0)</f>
        <v>11894901.215289567</v>
      </c>
      <c r="E78" s="67">
        <f t="shared" si="64"/>
        <v>1861.9239595037284</v>
      </c>
      <c r="F78" s="65">
        <f>IFERROR(VLOOKUP("Tl-206",$A$4:$L$32,6)/$B78,0)</f>
        <v>68.901971814593253</v>
      </c>
      <c r="G78" s="66">
        <f>IFERROR(VLOOKUP("Tl-206",$A$4:$L$32,7)/$B78,0)</f>
        <v>440111.34496571438</v>
      </c>
      <c r="H78" s="67">
        <f t="shared" si="65"/>
        <v>68.891186501638003</v>
      </c>
      <c r="I78" s="65">
        <f>IFERROR(VLOOKUP("Tl-206",$A$4:$L$32,9)/$B78,0)</f>
        <v>5.3706293706293715E-9</v>
      </c>
      <c r="J78" s="66">
        <f>IFERROR(VLOOKUP("Tl-206",$A$4:$L$32,10)/$B78,0)</f>
        <v>3.4304895104895114E-5</v>
      </c>
      <c r="K78" s="67">
        <f>IFERROR(VLOOKUP("Tl-206",$A$4:$L$32,11)/$B78,0)</f>
        <v>5.369788699208752E-9</v>
      </c>
    </row>
  </sheetData>
  <sheetProtection algorithmName="SHA-512" hashValue="KYcyoiTj2EzptT2ZxrznpVOSEZjOpfLDHuZF7e9VMQuHvQ6FfmMmrrHq3EEYT+0T+mlHNfIimoBarK2HQ/UDwA==" saltValue="3LTt+6cq6ZYyeX4fdUEj8w==" spinCount="100000" sheet="1" formatCells="0" formatColumns="0" formatRows="0" insertColumns="0" insertRows="0" autoFilter="0"/>
  <autoFilter ref="A2:K78" xr:uid="{00000000-0009-0000-0000-00000C000000}"/>
  <mergeCells count="3">
    <mergeCell ref="C1:E1"/>
    <mergeCell ref="F1:H1"/>
    <mergeCell ref="I1:K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499984740745262"/>
  </sheetPr>
  <dimension ref="A1:R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5.5703125" style="22" bestFit="1" customWidth="1"/>
    <col min="4" max="4" width="15.85546875" style="22" bestFit="1" customWidth="1"/>
    <col min="5" max="6" width="16.5703125" style="22" bestFit="1" customWidth="1"/>
    <col min="7" max="7" width="17.5703125" style="22" bestFit="1" customWidth="1"/>
    <col min="8" max="8" width="15.5703125" style="22" bestFit="1" customWidth="1"/>
    <col min="9" max="9" width="15.85546875" style="22" bestFit="1" customWidth="1"/>
    <col min="10" max="11" width="16.5703125" style="22" bestFit="1" customWidth="1"/>
    <col min="12" max="12" width="17.5703125" style="22" bestFit="1" customWidth="1"/>
    <col min="13" max="13" width="15.5703125" style="22" bestFit="1" customWidth="1"/>
    <col min="14" max="14" width="15.85546875" style="22" bestFit="1" customWidth="1"/>
    <col min="15" max="16" width="16.5703125" style="22" bestFit="1" customWidth="1"/>
    <col min="17" max="17" width="17.5703125" style="22" bestFit="1" customWidth="1"/>
    <col min="18" max="18" width="13.5703125" bestFit="1" customWidth="1"/>
  </cols>
  <sheetData>
    <row r="1" spans="1:18" ht="13.5" thickBot="1">
      <c r="C1" s="142" t="s">
        <v>51</v>
      </c>
      <c r="D1" s="143"/>
      <c r="E1" s="143"/>
      <c r="F1" s="143"/>
      <c r="G1" s="144"/>
      <c r="H1" s="142" t="s">
        <v>100</v>
      </c>
      <c r="I1" s="143"/>
      <c r="J1" s="143"/>
      <c r="K1" s="143"/>
      <c r="L1" s="144"/>
      <c r="M1" s="142" t="s">
        <v>101</v>
      </c>
      <c r="N1" s="143"/>
      <c r="O1" s="143"/>
      <c r="P1" s="143"/>
      <c r="Q1" s="144"/>
      <c r="R1" s="60" t="s">
        <v>206</v>
      </c>
    </row>
    <row r="2" spans="1:18">
      <c r="A2" s="11" t="s">
        <v>0</v>
      </c>
      <c r="B2" s="11" t="s">
        <v>43</v>
      </c>
      <c r="C2" s="23" t="s">
        <v>108</v>
      </c>
      <c r="D2" s="24" t="s">
        <v>109</v>
      </c>
      <c r="E2" s="24" t="s">
        <v>110</v>
      </c>
      <c r="F2" s="24" t="s">
        <v>111</v>
      </c>
      <c r="G2" s="25" t="s">
        <v>112</v>
      </c>
      <c r="H2" s="23" t="s">
        <v>108</v>
      </c>
      <c r="I2" s="24" t="s">
        <v>109</v>
      </c>
      <c r="J2" s="24" t="s">
        <v>110</v>
      </c>
      <c r="K2" s="24" t="s">
        <v>111</v>
      </c>
      <c r="L2" s="25" t="s">
        <v>112</v>
      </c>
      <c r="M2" s="23" t="s">
        <v>108</v>
      </c>
      <c r="N2" s="24" t="s">
        <v>109</v>
      </c>
      <c r="O2" s="24" t="s">
        <v>110</v>
      </c>
      <c r="P2" s="24" t="s">
        <v>111</v>
      </c>
      <c r="Q2" s="25" t="s">
        <v>112</v>
      </c>
      <c r="R2" s="61" t="s">
        <v>99</v>
      </c>
    </row>
    <row r="3" spans="1:18" ht="13.5" thickBot="1">
      <c r="B3" s="26" t="s">
        <v>44</v>
      </c>
      <c r="C3" s="27" t="s">
        <v>113</v>
      </c>
      <c r="D3" s="28" t="s">
        <v>102</v>
      </c>
      <c r="E3" s="28" t="s">
        <v>113</v>
      </c>
      <c r="F3" s="28" t="s">
        <v>113</v>
      </c>
      <c r="G3" s="29" t="s">
        <v>113</v>
      </c>
      <c r="H3" s="27" t="s">
        <v>114</v>
      </c>
      <c r="I3" s="28" t="s">
        <v>115</v>
      </c>
      <c r="J3" s="28" t="s">
        <v>114</v>
      </c>
      <c r="K3" s="28" t="s">
        <v>114</v>
      </c>
      <c r="L3" s="29" t="s">
        <v>114</v>
      </c>
      <c r="M3" s="27" t="s">
        <v>200</v>
      </c>
      <c r="N3" s="28" t="s">
        <v>104</v>
      </c>
      <c r="O3" s="28" t="s">
        <v>200</v>
      </c>
      <c r="P3" s="28" t="s">
        <v>200</v>
      </c>
      <c r="Q3" s="29" t="s">
        <v>200</v>
      </c>
      <c r="R3" s="74" t="s">
        <v>207</v>
      </c>
    </row>
    <row r="4" spans="1:18">
      <c r="A4" s="82" t="s">
        <v>23</v>
      </c>
      <c r="B4" s="12" t="s">
        <v>50</v>
      </c>
      <c r="C4" s="2">
        <f>IFERROR((s_DL)/(Doses!I2*s_GSFb*s_Fin*s_Fi*s_Fam*s_Foff*Isospec!M3*s_ETres*(1/24)*s_EFres*(1/365)),".")</f>
        <v>16.616801267957438</v>
      </c>
      <c r="D4" s="3">
        <f>IFERROR((s_DL)/(Doses!L2*s_GSFb*s_Fin*s_Fi*s_Fam*s_Foff*Isospec!L3*s_ETres*(1/24)*s_EFres*(1/365)),".")</f>
        <v>5.2719305462904957</v>
      </c>
      <c r="E4" s="3">
        <f>IFERROR((s_DL)/(Doses!M2*s_GSFb*s_Fin*s_Fi*s_Fam*s_Foff*Isospec!N3*s_ETres*(1/24)*s_EFres*(1/365)),".")</f>
        <v>8.7629080586280299</v>
      </c>
      <c r="F4" s="3">
        <f>IFERROR((s_DL)/(Doses!N2*s_GSFb*s_Fin*s_Fi*s_Fam*s_Foff*Isospec!O3*s_ETres*(1/24)*s_EFres*(1/365)),".")</f>
        <v>8.3650245008028037</v>
      </c>
      <c r="G4" s="5">
        <f>IFERROR((s_DL)/(Doses!O2*s_GSFb*s_Fin*s_Fi*s_Fam*s_Foff*Isospec!P3*s_ETres*(1/24)*s_EFres*(1/365)),".")</f>
        <v>9.9040659912175801</v>
      </c>
      <c r="H4" s="2">
        <f t="shared" ref="H4:H5" si="0">IFERROR(C4/s_1_bq,".")</f>
        <v>0.61482164691442587</v>
      </c>
      <c r="I4" s="3">
        <f t="shared" ref="I4:I5" si="1">IFERROR(D4/s_1_bq,".")</f>
        <v>0.19506143021274855</v>
      </c>
      <c r="J4" s="3">
        <f t="shared" ref="J4:J5" si="2">IFERROR(E4/s_1_bq,".")</f>
        <v>0.32422759816923741</v>
      </c>
      <c r="K4" s="3">
        <f t="shared" ref="K4:K5" si="3">IFERROR(F4/s_1_bq,".")</f>
        <v>0.30950590652970406</v>
      </c>
      <c r="L4" s="5">
        <f t="shared" ref="L4:L5" si="4">IFERROR(G4/s_1_bq,".")</f>
        <v>0.36645044167505081</v>
      </c>
      <c r="M4" s="2">
        <f>IFERROR(C4*Isospec!C3*Isospec!F3*s_SSLgram,".")</f>
        <v>5.2342923994065922E-8</v>
      </c>
      <c r="N4" s="3">
        <f>IFERROR(D4*Isospec!C3*Isospec!F3*s_SSLcm_m,".")</f>
        <v>1.6606581220815062E-11</v>
      </c>
      <c r="O4" s="3">
        <f>IFERROR(E4*Isospec!C3*Isospec!F3*s_SSLgram,".")</f>
        <v>2.760316038467829E-8</v>
      </c>
      <c r="P4" s="3">
        <f>IFERROR(F4*Isospec!C3*Isospec!F3*s_SSLgram,".")</f>
        <v>2.6349827177528834E-8</v>
      </c>
      <c r="Q4" s="5">
        <f>IFERROR(G4*Isospec!C3*Isospec!F3*s_SSLgram,".")</f>
        <v>3.119780787233537E-8</v>
      </c>
      <c r="R4" s="62">
        <f>IF(D4&lt;&gt;".",D4*2.22*100,".")</f>
        <v>1170.36858127649</v>
      </c>
    </row>
    <row r="5" spans="1:18">
      <c r="A5" s="83" t="s">
        <v>14</v>
      </c>
      <c r="B5" s="12" t="s">
        <v>44</v>
      </c>
      <c r="C5" s="2">
        <f>IFERROR((s_DL)/(Doses!I3*s_GSFb*s_Fin*s_Fi*s_Fam*s_Foff*Isospec!M4*s_ETres*(1/24)*s_EFres*(1/365)),".")</f>
        <v>8.5008442566088025</v>
      </c>
      <c r="D5" s="3">
        <f>IFERROR((s_DL)/(Doses!L3*s_GSFb*s_Fin*s_Fi*s_Fam*s_Foff*Isospec!L4*s_ETres*(1/24)*s_EFres*(1/365)),".")</f>
        <v>3.7445713783656518</v>
      </c>
      <c r="E5" s="3">
        <f>IFERROR((s_DL)/(Doses!M3*s_GSFb*s_Fin*s_Fi*s_Fam*s_Foff*Isospec!N4*s_ETres*(1/24)*s_EFres*(1/365)),".")</f>
        <v>3.6355993222633889</v>
      </c>
      <c r="F5" s="3">
        <f>IFERROR((s_DL)/(Doses!N3*s_GSFb*s_Fin*s_Fi*s_Fam*s_Foff*Isospec!O4*s_ETres*(1/24)*s_EFres*(1/365)),".")</f>
        <v>4.0348818918838365</v>
      </c>
      <c r="G5" s="5">
        <f>IFERROR((s_DL)/(Doses!O3*s_GSFb*s_Fin*s_Fi*s_Fam*s_Foff*Isospec!P4*s_ETres*(1/24)*s_EFres*(1/365)),".")</f>
        <v>6.2899897094991069</v>
      </c>
      <c r="H5" s="2">
        <f t="shared" si="0"/>
        <v>0.31453123749452599</v>
      </c>
      <c r="I5" s="3">
        <f t="shared" si="1"/>
        <v>0.13854914099952925</v>
      </c>
      <c r="J5" s="3">
        <f t="shared" si="2"/>
        <v>0.13451717492374551</v>
      </c>
      <c r="K5" s="3">
        <f t="shared" si="3"/>
        <v>0.14929062999970211</v>
      </c>
      <c r="L5" s="5">
        <f t="shared" si="4"/>
        <v>0.23272961925146718</v>
      </c>
      <c r="M5" s="2">
        <f>IFERROR(C5*Isospec!C4*Isospec!F4*s_SSLgram,".")</f>
        <v>2.8681848521798093E-8</v>
      </c>
      <c r="N5" s="3">
        <f>IFERROR(D5*Isospec!C4*Isospec!F4*s_SSLcm_m,".")</f>
        <v>1.2634183830605708E-11</v>
      </c>
      <c r="O5" s="3">
        <f>IFERROR(E5*Isospec!C4*Isospec!F4*s_SSLgram,".")</f>
        <v>1.2266512113316673E-8</v>
      </c>
      <c r="P5" s="3">
        <f>IFERROR(F5*Isospec!C4*Isospec!F4*s_SSLgram,".")</f>
        <v>1.3613691503216061E-8</v>
      </c>
      <c r="Q5" s="5">
        <f>IFERROR(G5*Isospec!C4*Isospec!F4*s_SSLgram,".")</f>
        <v>2.1222425279849984E-8</v>
      </c>
      <c r="R5" s="62">
        <f t="shared" ref="R5" si="5">IF(D5&lt;&gt;".",D5*2.22*100,".")</f>
        <v>831.29484599717478</v>
      </c>
    </row>
    <row r="6" spans="1:18">
      <c r="A6" s="82" t="s">
        <v>15</v>
      </c>
      <c r="B6" s="12" t="s">
        <v>50</v>
      </c>
      <c r="C6" s="2">
        <f>IFERROR((s_DL)/(Doses!I4*s_GSFb*s_Fin*s_Fi*s_Fam*s_Foff*Isospec!M5*s_ETres*(1/24)*s_EFres*(1/365)),".")</f>
        <v>3138.5068307265383</v>
      </c>
      <c r="D6" s="3">
        <f>IFERROR((s_DL)/(Doses!L4*s_GSFb*s_Fin*s_Fi*s_Fam*s_Foff*Isospec!L5*s_ETres*(1/24)*s_EFres*(1/365)),".")</f>
        <v>2683.9074597879744</v>
      </c>
      <c r="E6" s="3">
        <f>IFERROR((s_DL)/(Doses!M4*s_GSFb*s_Fin*s_Fi*s_Fam*s_Foff*Isospec!N5*s_ETres*(1/24)*s_EFres*(1/365)),".")</f>
        <v>2538.77719819499</v>
      </c>
      <c r="F6" s="3">
        <f>IFERROR((s_DL)/(Doses!N4*s_GSFb*s_Fin*s_Fi*s_Fam*s_Foff*Isospec!O5*s_ETres*(1/24)*s_EFres*(1/365)),".")</f>
        <v>2661.2527579789758</v>
      </c>
      <c r="G6" s="5">
        <f>IFERROR((s_DL)/(Doses!O4*s_GSFb*s_Fin*s_Fi*s_Fam*s_Foff*Isospec!P5*s_ETres*(1/24)*s_EFres*(1/365)),".")</f>
        <v>2970.1463681724081</v>
      </c>
      <c r="H6" s="2">
        <f t="shared" ref="H6:H8" si="6">IFERROR(C6/s_1_bq,".")</f>
        <v>116.12475273688203</v>
      </c>
      <c r="I6" s="3">
        <f t="shared" ref="I6:I8" si="7">IFERROR(D6/s_1_bq,".")</f>
        <v>99.304576012155152</v>
      </c>
      <c r="J6" s="3">
        <f t="shared" ref="J6:J8" si="8">IFERROR(E6/s_1_bq,".")</f>
        <v>93.934756333214722</v>
      </c>
      <c r="K6" s="3">
        <f t="shared" ref="K6:K8" si="9">IFERROR(F6/s_1_bq,".")</f>
        <v>98.466352045222209</v>
      </c>
      <c r="L6" s="5">
        <f t="shared" ref="L6:L8" si="10">IFERROR(G6/s_1_bq,".")</f>
        <v>109.8954156223792</v>
      </c>
      <c r="M6" s="2">
        <f>IFERROR(C6*Isospec!C5*Isospec!F5*s_SSLgram,".")</f>
        <v>9.5347837517472234E-6</v>
      </c>
      <c r="N6" s="3">
        <f>IFERROR(D6*Isospec!C5*Isospec!F5*s_SSLcm_m,".")</f>
        <v>8.1537108628358655E-9</v>
      </c>
      <c r="O6" s="3">
        <f>IFERROR(E6*Isospec!C5*Isospec!F5*s_SSLgram,".")</f>
        <v>7.7128051281163798E-6</v>
      </c>
      <c r="P6" s="3">
        <f>IFERROR(F6*Isospec!C5*Isospec!F5*s_SSLgram,".")</f>
        <v>8.0848858787401265E-6</v>
      </c>
      <c r="Q6" s="5">
        <f>IFERROR(G6*Isospec!C5*Isospec!F5*s_SSLgram,".")</f>
        <v>9.0233046665077745E-6</v>
      </c>
      <c r="R6" s="62">
        <f t="shared" ref="R6:R8" si="11">IF(D6&lt;&gt;".",D6*2.22*100,".")</f>
        <v>595827.45607293036</v>
      </c>
    </row>
    <row r="7" spans="1:18">
      <c r="A7" s="82" t="s">
        <v>16</v>
      </c>
      <c r="B7" s="84" t="s">
        <v>50</v>
      </c>
      <c r="C7" s="2" t="str">
        <f>IFERROR((s_DL)/(Doses!I5*s_GSFb*s_Fin*s_Fi*s_Fam*s_Foff*Isospec!M6*s_ETres*(1/24)*s_EFres*(1/365)),".")</f>
        <v>.</v>
      </c>
      <c r="D7" s="3" t="str">
        <f>IFERROR((s_DL)/(Doses!L5*s_GSFb*s_Fin*s_Fi*s_Fam*s_Foff*Isospec!L6*s_ETres*(1/24)*s_EFres*(1/365)),".")</f>
        <v>.</v>
      </c>
      <c r="E7" s="3" t="str">
        <f>IFERROR((s_DL)/(Doses!M5*s_GSFb*s_Fin*s_Fi*s_Fam*s_Foff*Isospec!N6*s_ETres*(1/24)*s_EFres*(1/365)),".")</f>
        <v>.</v>
      </c>
      <c r="F7" s="3" t="str">
        <f>IFERROR((s_DL)/(Doses!N5*s_GSFb*s_Fin*s_Fi*s_Fam*s_Foff*Isospec!O6*s_ETres*(1/24)*s_EFres*(1/365)),".")</f>
        <v>.</v>
      </c>
      <c r="G7" s="5" t="str">
        <f>IFERROR((s_DL)/(Doses!O5*s_GSFb*s_Fin*s_Fi*s_Fam*s_Foff*Isospec!P6*s_ETres*(1/24)*s_EFres*(1/365)),".")</f>
        <v>.</v>
      </c>
      <c r="H7" s="2" t="str">
        <f t="shared" si="6"/>
        <v>.</v>
      </c>
      <c r="I7" s="3" t="str">
        <f t="shared" si="7"/>
        <v>.</v>
      </c>
      <c r="J7" s="3" t="str">
        <f t="shared" si="8"/>
        <v>.</v>
      </c>
      <c r="K7" s="3" t="str">
        <f t="shared" si="9"/>
        <v>.</v>
      </c>
      <c r="L7" s="5" t="str">
        <f t="shared" si="10"/>
        <v>.</v>
      </c>
      <c r="M7" s="2" t="str">
        <f>IFERROR(C7*Isospec!C6*Isospec!F6*s_SSLgram,".")</f>
        <v>.</v>
      </c>
      <c r="N7" s="3" t="str">
        <f>IFERROR(D7*Isospec!C6*Isospec!F6*s_SSLcm_m,".")</f>
        <v>.</v>
      </c>
      <c r="O7" s="3" t="str">
        <f>IFERROR(E7*Isospec!C6*Isospec!F6*s_SSLgram,".")</f>
        <v>.</v>
      </c>
      <c r="P7" s="3" t="str">
        <f>IFERROR(F7*Isospec!C6*Isospec!F6*s_SSLgram,".")</f>
        <v>.</v>
      </c>
      <c r="Q7" s="5" t="str">
        <f>IFERROR(G7*Isospec!C6*Isospec!F6*s_SSLgram,".")</f>
        <v>.</v>
      </c>
      <c r="R7" s="62" t="str">
        <f t="shared" si="11"/>
        <v>.</v>
      </c>
    </row>
    <row r="8" spans="1:18">
      <c r="A8" s="82" t="s">
        <v>18</v>
      </c>
      <c r="B8" s="12" t="s">
        <v>50</v>
      </c>
      <c r="C8" s="2">
        <f>IFERROR((s_DL)/(Doses!I6*s_GSFb*s_Fin*s_Fi*s_Fam*s_Foff*Isospec!M7*s_ETres*(1/24)*s_EFres*(1/365)),".")</f>
        <v>3.1628233081473507</v>
      </c>
      <c r="D8" s="3">
        <f>IFERROR((s_DL)/(Doses!L6*s_GSFb*s_Fin*s_Fi*s_Fam*s_Foff*Isospec!L7*s_ETres*(1/24)*s_EFres*(1/365)),".")</f>
        <v>4.3183363807674571</v>
      </c>
      <c r="E8" s="3">
        <f>IFERROR((s_DL)/(Doses!M6*s_GSFb*s_Fin*s_Fi*s_Fam*s_Foff*Isospec!N7*s_ETres*(1/24)*s_EFres*(1/365)),".")</f>
        <v>3.2909347916756282</v>
      </c>
      <c r="F8" s="3">
        <f>IFERROR((s_DL)/(Doses!N6*s_GSFb*s_Fin*s_Fi*s_Fam*s_Foff*Isospec!O7*s_ETres*(1/24)*s_EFres*(1/365)),".")</f>
        <v>3.052179541451701</v>
      </c>
      <c r="G8" s="5">
        <f>IFERROR((s_DL)/(Doses!O6*s_GSFb*s_Fin*s_Fi*s_Fam*s_Foff*Isospec!P7*s_ETres*(1/24)*s_EFres*(1/365)),".")</f>
        <v>3.8330842519445079</v>
      </c>
      <c r="H8" s="2">
        <f t="shared" si="6"/>
        <v>0.11702446240145209</v>
      </c>
      <c r="I8" s="3">
        <f t="shared" si="7"/>
        <v>0.15977844608839609</v>
      </c>
      <c r="J8" s="3">
        <f t="shared" si="8"/>
        <v>0.12176458729199836</v>
      </c>
      <c r="K8" s="3">
        <f t="shared" si="9"/>
        <v>0.11293064303371306</v>
      </c>
      <c r="L8" s="5">
        <f t="shared" si="10"/>
        <v>0.14182411732194694</v>
      </c>
      <c r="M8" s="2">
        <f>IFERROR(C8*Isospec!C7*Isospec!F7*s_SSLgram,".")</f>
        <v>6.0662951050266187E-9</v>
      </c>
      <c r="N8" s="3">
        <f>IFERROR(D8*Isospec!C7*Isospec!F7*s_SSLcm_m,".")</f>
        <v>8.2825691783119813E-12</v>
      </c>
      <c r="O8" s="3">
        <f>IFERROR(E8*Isospec!C7*Isospec!F7*s_SSLgram,".")</f>
        <v>6.3120129304338546E-9</v>
      </c>
      <c r="P8" s="3">
        <f>IFERROR(F8*Isospec!C7*Isospec!F7*s_SSLgram,".")</f>
        <v>5.8540803605043623E-9</v>
      </c>
      <c r="Q8" s="5">
        <f>IFERROR(G8*Isospec!C7*Isospec!F7*s_SSLgram,".")</f>
        <v>7.3518555952295648E-9</v>
      </c>
      <c r="R8" s="62">
        <f t="shared" si="11"/>
        <v>958.67067653037554</v>
      </c>
    </row>
    <row r="9" spans="1:18">
      <c r="A9" s="82" t="s">
        <v>19</v>
      </c>
      <c r="B9" s="85" t="s">
        <v>50</v>
      </c>
      <c r="C9" s="2">
        <f>IFERROR((s_DL)/(Doses!I7*s_GSFb*s_Fin*s_Fi*s_Fam*s_Foff*Isospec!M8*s_ETres*(1/24)*s_EFres*(1/365)),".")</f>
        <v>2550031.2816509944</v>
      </c>
      <c r="D9" s="3">
        <f>IFERROR((s_DL)/(Doses!L7*s_GSFb*s_Fin*s_Fi*s_Fam*s_Foff*Isospec!L8*s_ETres*(1/24)*s_EFres*(1/365)),".")</f>
        <v>2512332.3204800002</v>
      </c>
      <c r="E9" s="3">
        <f>IFERROR((s_DL)/(Doses!M7*s_GSFb*s_Fin*s_Fi*s_Fam*s_Foff*Isospec!N8*s_ETres*(1/24)*s_EFres*(1/365)),".")</f>
        <v>2159181.0792490621</v>
      </c>
      <c r="F9" s="3">
        <f>IFERROR((s_DL)/(Doses!N7*s_GSFb*s_Fin*s_Fi*s_Fam*s_Foff*Isospec!O8*s_ETres*(1/24)*s_EFres*(1/365)),".")</f>
        <v>2158126.1921277572</v>
      </c>
      <c r="G9" s="5">
        <f>IFERROR((s_DL)/(Doses!O7*s_GSFb*s_Fin*s_Fi*s_Fam*s_Foff*Isospec!P8*s_ETres*(1/24)*s_EFres*(1/365)),".")</f>
        <v>2547078.9422842553</v>
      </c>
      <c r="H9" s="2">
        <f t="shared" ref="H9:H11" si="12">IFERROR(C9/s_1_bq,".")</f>
        <v>94351.157421086886</v>
      </c>
      <c r="I9" s="3">
        <f t="shared" ref="I9:I11" si="13">IFERROR(D9/s_1_bq,".")</f>
        <v>92956.295857760109</v>
      </c>
      <c r="J9" s="3">
        <f t="shared" ref="J9:J11" si="14">IFERROR(E9/s_1_bq,".")</f>
        <v>79889.699932215386</v>
      </c>
      <c r="K9" s="3">
        <f t="shared" ref="K9:K11" si="15">IFERROR(F9/s_1_bq,".")</f>
        <v>79850.669108727103</v>
      </c>
      <c r="L9" s="5">
        <f t="shared" ref="L9:L11" si="16">IFERROR(G9/s_1_bq,".")</f>
        <v>94241.920864517539</v>
      </c>
      <c r="M9" s="2">
        <f>IFERROR(C9*Isospec!C8*Isospec!F8*s_SSLgram,".")</f>
        <v>7.4970919680539226E-3</v>
      </c>
      <c r="N9" s="3">
        <f>IFERROR(D9*Isospec!C8*Isospec!F8*s_SSLcm_m,".")</f>
        <v>7.386257022211201E-6</v>
      </c>
      <c r="O9" s="3">
        <f>IFERROR(E9*Isospec!C8*Isospec!F8*s_SSLgram,".")</f>
        <v>6.3479923729922415E-3</v>
      </c>
      <c r="P9" s="3">
        <f>IFERROR(F9*Isospec!C8*Isospec!F8*s_SSLgram,".")</f>
        <v>6.3448910048556056E-3</v>
      </c>
      <c r="Q9" s="5">
        <f>IFERROR(G9*Isospec!C8*Isospec!F8*s_SSLgram,".")</f>
        <v>7.4884120903157096E-3</v>
      </c>
      <c r="R9" s="62">
        <f t="shared" ref="R9:R11" si="17">IF(D9&lt;&gt;".",D9*2.22*100,".")</f>
        <v>557737775.14656007</v>
      </c>
    </row>
    <row r="10" spans="1:18">
      <c r="A10" s="82" t="s">
        <v>20</v>
      </c>
      <c r="B10" s="12" t="s">
        <v>50</v>
      </c>
      <c r="C10" s="2">
        <f>IFERROR((s_DL)/(Doses!I8*s_GSFb*s_Fin*s_Fi*s_Fam*s_Foff*Isospec!M9*s_ETres*(1/24)*s_EFres*(1/365)),".")</f>
        <v>9.6134373722867341</v>
      </c>
      <c r="D10" s="3">
        <f>IFERROR((s_DL)/(Doses!L8*s_GSFb*s_Fin*s_Fi*s_Fam*s_Foff*Isospec!L9*s_ETres*(1/24)*s_EFres*(1/365)),".")</f>
        <v>11.031268143315119</v>
      </c>
      <c r="E10" s="3">
        <f>IFERROR((s_DL)/(Doses!M8*s_GSFb*s_Fin*s_Fi*s_Fam*s_Foff*Isospec!N9*s_ETres*(1/24)*s_EFres*(1/365)),".")</f>
        <v>9.3612843148351352</v>
      </c>
      <c r="F10" s="3">
        <f>IFERROR((s_DL)/(Doses!N8*s_GSFb*s_Fin*s_Fi*s_Fam*s_Foff*Isospec!O9*s_ETres*(1/24)*s_EFres*(1/365)),".")</f>
        <v>8.6528602514459241</v>
      </c>
      <c r="G10" s="5">
        <f>IFERROR((s_DL)/(Doses!O8*s_GSFb*s_Fin*s_Fi*s_Fam*s_Foff*Isospec!P9*s_ETres*(1/24)*s_EFres*(1/365)),".")</f>
        <v>9.9420804524449053</v>
      </c>
      <c r="H10" s="2">
        <f t="shared" si="12"/>
        <v>0.35569718277460954</v>
      </c>
      <c r="I10" s="3">
        <f t="shared" si="13"/>
        <v>0.40815692130265979</v>
      </c>
      <c r="J10" s="3">
        <f t="shared" si="14"/>
        <v>0.34636751964890033</v>
      </c>
      <c r="K10" s="3">
        <f t="shared" si="15"/>
        <v>0.32015582930349951</v>
      </c>
      <c r="L10" s="5">
        <f t="shared" si="16"/>
        <v>0.36785697674046186</v>
      </c>
      <c r="M10" s="2">
        <f>IFERROR(C10*Isospec!C9*Isospec!F9*s_SSLgram,".")</f>
        <v>2.8667270244159038E-8</v>
      </c>
      <c r="N10" s="3">
        <f>IFERROR(D10*Isospec!C9*Isospec!F9*s_SSLcm_m,".")</f>
        <v>3.2895241603365685E-11</v>
      </c>
      <c r="O10" s="3">
        <f>IFERROR(E10*Isospec!C9*Isospec!F9*s_SSLgram,".")</f>
        <v>2.7915349826838369E-8</v>
      </c>
      <c r="P10" s="3">
        <f>IFERROR(F10*Isospec!C9*Isospec!F9*s_SSLgram,".")</f>
        <v>2.5802829269811745E-8</v>
      </c>
      <c r="Q10" s="5">
        <f>IFERROR(G10*Isospec!C9*Isospec!F9*s_SSLgram,".")</f>
        <v>2.9647283909190708E-8</v>
      </c>
      <c r="R10" s="62">
        <f t="shared" si="17"/>
        <v>2448.9415278159568</v>
      </c>
    </row>
    <row r="11" spans="1:18">
      <c r="A11" s="82" t="s">
        <v>21</v>
      </c>
      <c r="B11" s="85" t="s">
        <v>50</v>
      </c>
      <c r="C11" s="2">
        <f>IFERROR((s_DL)/(Doses!I9*s_GSFb*s_Fin*s_Fi*s_Fam*s_Foff*Isospec!M10*s_ETres*(1/24)*s_EFres*(1/365)),".")</f>
        <v>2.1674039395410158</v>
      </c>
      <c r="D11" s="3">
        <f>IFERROR((s_DL)/(Doses!L9*s_GSFb*s_Fin*s_Fi*s_Fam*s_Foff*Isospec!L10*s_ETres*(1/24)*s_EFres*(1/365)),".")</f>
        <v>3.1606621299062754</v>
      </c>
      <c r="E11" s="3">
        <f>IFERROR((s_DL)/(Doses!M9*s_GSFb*s_Fin*s_Fi*s_Fam*s_Foff*Isospec!N10*s_ETres*(1/24)*s_EFres*(1/365)),".")</f>
        <v>2.3868527300901037</v>
      </c>
      <c r="F11" s="3">
        <f>IFERROR((s_DL)/(Doses!N9*s_GSFb*s_Fin*s_Fi*s_Fam*s_Foff*Isospec!O10*s_ETres*(1/24)*s_EFres*(1/365)),".")</f>
        <v>2.2971839942172672</v>
      </c>
      <c r="G11" s="5">
        <f>IFERROR((s_DL)/(Doses!O9*s_GSFb*s_Fin*s_Fi*s_Fam*s_Foff*Isospec!P10*s_ETres*(1/24)*s_EFres*(1/365)),".")</f>
        <v>2.7433529578472964</v>
      </c>
      <c r="H11" s="2">
        <f t="shared" si="12"/>
        <v>8.0193945763017666E-2</v>
      </c>
      <c r="I11" s="3">
        <f t="shared" si="13"/>
        <v>0.11694449880653231</v>
      </c>
      <c r="J11" s="3">
        <f t="shared" si="14"/>
        <v>8.8313551013333921E-2</v>
      </c>
      <c r="K11" s="3">
        <f t="shared" si="15"/>
        <v>8.4995807786038977E-2</v>
      </c>
      <c r="L11" s="5">
        <f t="shared" si="16"/>
        <v>0.10150405944035007</v>
      </c>
      <c r="M11" s="2">
        <f>IFERROR(C11*Isospec!C10*Isospec!F10*s_SSLgram,".")</f>
        <v>6.4935422028648827E-9</v>
      </c>
      <c r="N11" s="3">
        <f>IFERROR(D11*Isospec!C10*Isospec!F10*s_SSLcm_m,".")</f>
        <v>9.469343741199202E-12</v>
      </c>
      <c r="O11" s="3">
        <f>IFERROR(E11*Isospec!C10*Isospec!F10*s_SSLgram,".")</f>
        <v>7.1510107793499496E-9</v>
      </c>
      <c r="P11" s="3">
        <f>IFERROR(F11*Isospec!C10*Isospec!F10*s_SSLgram,".")</f>
        <v>6.8823632466749325E-9</v>
      </c>
      <c r="Q11" s="5">
        <f>IFERROR(G11*Isospec!C10*Isospec!F10*s_SSLgram,".")</f>
        <v>8.2190854617104991E-9</v>
      </c>
      <c r="R11" s="62">
        <f t="shared" si="17"/>
        <v>701.6669928391932</v>
      </c>
    </row>
    <row r="12" spans="1:18">
      <c r="A12" s="83" t="s">
        <v>17</v>
      </c>
      <c r="B12" s="12" t="s">
        <v>44</v>
      </c>
      <c r="C12" s="2">
        <f>IFERROR((s_DL)/(Doses!I10*s_GSFb*s_Fin*s_Fi*s_Fam*s_Foff*Isospec!M11*s_ETres*(1/24)*s_EFres*(1/365)),".")</f>
        <v>508109.06145558867</v>
      </c>
      <c r="D12" s="3">
        <f>IFERROR((s_DL)/(Doses!L10*s_GSFb*s_Fin*s_Fi*s_Fam*s_Foff*Isospec!L11*s_ETres*(1/24)*s_EFres*(1/365)),".")</f>
        <v>3.5387341840729549</v>
      </c>
      <c r="E12" s="3">
        <f>IFERROR((s_DL)/(Doses!M10*s_GSFb*s_Fin*s_Fi*s_Fam*s_Foff*Isospec!N11*s_ETres*(1/24)*s_EFres*(1/365)),".")</f>
        <v>2.8052469069794768</v>
      </c>
      <c r="F12" s="3">
        <f>IFERROR((s_DL)/(Doses!N10*s_GSFb*s_Fin*s_Fi*s_Fam*s_Foff*Isospec!O11*s_ETres*(1/24)*s_EFres*(1/365)),".")</f>
        <v>2.9365475386764426</v>
      </c>
      <c r="G12" s="5">
        <f>IFERROR((s_DL)/(Doses!O10*s_GSFb*s_Fin*s_Fi*s_Fam*s_Foff*Isospec!P11*s_ETres*(1/24)*s_EFres*(1/365)),".")</f>
        <v>2.1564607014370925</v>
      </c>
      <c r="H12" s="2">
        <f t="shared" ref="H12" si="18">IFERROR(C12/s_1_bq,".")</f>
        <v>18800.0352738568</v>
      </c>
      <c r="I12" s="3">
        <f t="shared" ref="I12" si="19">IFERROR(D12/s_1_bq,".")</f>
        <v>0.13093316481069947</v>
      </c>
      <c r="J12" s="3">
        <f t="shared" ref="J12" si="20">IFERROR(E12/s_1_bq,".")</f>
        <v>0.10379413555824074</v>
      </c>
      <c r="K12" s="3">
        <f t="shared" ref="K12" si="21">IFERROR(F12/s_1_bq,".")</f>
        <v>0.10865225893102849</v>
      </c>
      <c r="L12" s="5">
        <f t="shared" ref="L12" si="22">IFERROR(G12/s_1_bq,".")</f>
        <v>7.9789045953172502E-2</v>
      </c>
      <c r="M12" s="2">
        <f>IFERROR(C12*Isospec!C11*Isospec!F11*s_SSLgram,".")</f>
        <v>9.7455317987181901E-4</v>
      </c>
      <c r="N12" s="3">
        <f>IFERROR(D12*Isospec!C11*Isospec!F11*s_SSLcm_m,".")</f>
        <v>6.7872921650519276E-12</v>
      </c>
      <c r="O12" s="3">
        <f>IFERROR(E12*Isospec!C11*Isospec!F11*s_SSLgram,".")</f>
        <v>5.3804635675866363E-9</v>
      </c>
      <c r="P12" s="3">
        <f>IFERROR(F12*Isospec!C11*Isospec!F11*s_SSLgram,".")</f>
        <v>5.6322981791814169E-9</v>
      </c>
      <c r="Q12" s="5">
        <f>IFERROR(G12*Isospec!C11*Isospec!F11*s_SSLgram,".")</f>
        <v>4.1360916253563432E-9</v>
      </c>
      <c r="R12" s="62">
        <f t="shared" ref="R12" si="23">IF(D12&lt;&gt;".",D12*2.22*100,".")</f>
        <v>785.59898886419614</v>
      </c>
    </row>
    <row r="13" spans="1:18">
      <c r="A13" s="82" t="s">
        <v>24</v>
      </c>
      <c r="B13" s="12" t="s">
        <v>50</v>
      </c>
      <c r="C13" s="2">
        <f>IFERROR((s_DL)/(Doses!I11*s_GSFb*s_Fin*s_Fi*s_Fam*s_Foff*Isospec!M12*s_ETres*(1/24)*s_EFres*(1/365)),".")</f>
        <v>22.108469774340534</v>
      </c>
      <c r="D13" s="3">
        <f>IFERROR((s_DL)/(Doses!L11*s_GSFb*s_Fin*s_Fi*s_Fam*s_Foff*Isospec!L12*s_ETres*(1/24)*s_EFres*(1/365)),".")</f>
        <v>16.940267291331768</v>
      </c>
      <c r="E13" s="3">
        <f>IFERROR((s_DL)/(Doses!M11*s_GSFb*s_Fin*s_Fi*s_Fam*s_Foff*Isospec!N12*s_ETres*(1/24)*s_EFres*(1/365)),".")</f>
        <v>15.516220183024295</v>
      </c>
      <c r="F13" s="3">
        <f>IFERROR((s_DL)/(Doses!N11*s_GSFb*s_Fin*s_Fi*s_Fam*s_Foff*Isospec!O12*s_ETres*(1/24)*s_EFres*(1/365)),".")</f>
        <v>16.676009893437307</v>
      </c>
      <c r="G13" s="5">
        <f>IFERROR((s_DL)/(Doses!O11*s_GSFb*s_Fin*s_Fi*s_Fam*s_Foff*Isospec!P12*s_ETres*(1/24)*s_EFres*(1/365)),".")</f>
        <v>20.326597659980525</v>
      </c>
      <c r="H13" s="2">
        <f t="shared" ref="H13" si="24">IFERROR(C13/s_1_bq,".")</f>
        <v>0.81801338165060056</v>
      </c>
      <c r="I13" s="3">
        <f t="shared" ref="I13" si="25">IFERROR(D13/s_1_bq,".")</f>
        <v>0.62678988977927608</v>
      </c>
      <c r="J13" s="3">
        <f t="shared" ref="J13" si="26">IFERROR(E13/s_1_bq,".")</f>
        <v>0.57410014677189947</v>
      </c>
      <c r="K13" s="3">
        <f t="shared" ref="K13" si="27">IFERROR(F13/s_1_bq,".")</f>
        <v>0.61701236605718102</v>
      </c>
      <c r="L13" s="5">
        <f t="shared" ref="L13" si="28">IFERROR(G13/s_1_bq,".")</f>
        <v>0.75208411341928016</v>
      </c>
      <c r="M13" s="2">
        <f>IFERROR(C13*Isospec!C12*Isospec!F12*s_SSLgram,".")</f>
        <v>6.8403605481809617E-8</v>
      </c>
      <c r="N13" s="3">
        <f>IFERROR(D13*Isospec!C12*Isospec!F12*s_SSLcm_m,".")</f>
        <v>5.2413186999380488E-11</v>
      </c>
      <c r="O13" s="3">
        <f>IFERROR(E13*Isospec!C12*Isospec!F12*s_SSLgram,".")</f>
        <v>4.8007185246277169E-8</v>
      </c>
      <c r="P13" s="3">
        <f>IFERROR(F13*Isospec!C12*Isospec!F12*s_SSLgram,".")</f>
        <v>5.1595574610295025E-8</v>
      </c>
      <c r="Q13" s="5">
        <f>IFERROR(G13*Isospec!C12*Isospec!F12*s_SSLgram,".")</f>
        <v>6.2890493159979739E-8</v>
      </c>
      <c r="R13" s="62">
        <f t="shared" ref="R13" si="29">IF(D13&lt;&gt;".",D13*2.22*100,".")</f>
        <v>3760.7393386756526</v>
      </c>
    </row>
    <row r="14" spans="1:18">
      <c r="A14" s="82" t="s">
        <v>22</v>
      </c>
      <c r="B14" s="84" t="s">
        <v>50</v>
      </c>
      <c r="C14" s="2">
        <f>IFERROR((s_DL)/(Doses!I12*s_GSFb*s_Fin*s_Fi*s_Fam*s_Foff*Isospec!M13*s_ETres*(1/24)*s_EFres*(1/365)),".")</f>
        <v>7.3846618796480472</v>
      </c>
      <c r="D14" s="3">
        <f>IFERROR((s_DL)/(Doses!L12*s_GSFb*s_Fin*s_Fi*s_Fam*s_Foff*Isospec!L13*s_ETres*(1/24)*s_EFres*(1/365)),".")</f>
        <v>6.8523094019561199</v>
      </c>
      <c r="E14" s="3">
        <f>IFERROR((s_DL)/(Doses!M12*s_GSFb*s_Fin*s_Fi*s_Fam*s_Foff*Isospec!N13*s_ETres*(1/24)*s_EFres*(1/365)),".")</f>
        <v>6.0247894084840681</v>
      </c>
      <c r="F14" s="3">
        <f>IFERROR((s_DL)/(Doses!N12*s_GSFb*s_Fin*s_Fi*s_Fam*s_Foff*Isospec!O13*s_ETres*(1/24)*s_EFres*(1/365)),".")</f>
        <v>6.0885470350280988</v>
      </c>
      <c r="G14" s="5">
        <f>IFERROR((s_DL)/(Doses!O12*s_GSFb*s_Fin*s_Fi*s_Fam*s_Foff*Isospec!P13*s_ETres*(1/24)*s_EFres*(1/365)),".")</f>
        <v>7.2118584772165555</v>
      </c>
      <c r="H14" s="2">
        <f t="shared" ref="H14" si="30">IFERROR(C14/s_1_bq,".")</f>
        <v>0.27323248954697804</v>
      </c>
      <c r="I14" s="3">
        <f t="shared" ref="I14" si="31">IFERROR(D14/s_1_bq,".")</f>
        <v>0.2535354478723767</v>
      </c>
      <c r="J14" s="3">
        <f t="shared" ref="J14" si="32">IFERROR(E14/s_1_bq,".")</f>
        <v>0.22291720811391075</v>
      </c>
      <c r="K14" s="3">
        <f t="shared" ref="K14" si="33">IFERROR(F14/s_1_bq,".")</f>
        <v>0.22527624029603988</v>
      </c>
      <c r="L14" s="5">
        <f t="shared" ref="L14" si="34">IFERROR(G14/s_1_bq,".")</f>
        <v>0.26683876365701281</v>
      </c>
      <c r="M14" s="2">
        <f>IFERROR(C14*Isospec!C13*Isospec!F13*s_SSLgram,".")</f>
        <v>2.1297364860904967E-8</v>
      </c>
      <c r="N14" s="3">
        <f>IFERROR(D14*Isospec!C13*Isospec!F13*s_SSLcm_m,".")</f>
        <v>1.9762060315241451E-11</v>
      </c>
      <c r="O14" s="3">
        <f>IFERROR(E14*Isospec!C13*Isospec!F13*s_SSLgram,".")</f>
        <v>1.7375492654068052E-8</v>
      </c>
      <c r="P14" s="3">
        <f>IFERROR(F14*Isospec!C13*Isospec!F13*s_SSLgram,".")</f>
        <v>1.7559369649021037E-8</v>
      </c>
      <c r="Q14" s="5">
        <f>IFERROR(G14*Isospec!C13*Isospec!F13*s_SSLgram,".")</f>
        <v>2.0798999848292541E-8</v>
      </c>
      <c r="R14" s="62">
        <f t="shared" ref="R14" si="35">IF(D14&lt;&gt;".",D14*2.22*100,".")</f>
        <v>1521.2126872342587</v>
      </c>
    </row>
    <row r="15" spans="1:18">
      <c r="A15" s="82" t="s">
        <v>28</v>
      </c>
      <c r="B15" s="12" t="s">
        <v>50</v>
      </c>
      <c r="C15" s="2">
        <f>IFERROR((s_DL)/(Doses!I13*s_GSFb*s_Fin*s_Fi*s_Fam*s_Foff*Isospec!M14*s_ETres*(1/24)*s_EFres*(1/365)),".")</f>
        <v>6.6718715261961634</v>
      </c>
      <c r="D15" s="3">
        <f>IFERROR((s_DL)/(Doses!L13*s_GSFb*s_Fin*s_Fi*s_Fam*s_Foff*Isospec!L14*s_ETres*(1/24)*s_EFres*(1/365)),".")</f>
        <v>1.9815083675313372</v>
      </c>
      <c r="E15" s="3">
        <f>IFERROR((s_DL)/(Doses!M13*s_GSFb*s_Fin*s_Fi*s_Fam*s_Foff*Isospec!N14*s_ETres*(1/24)*s_EFres*(1/365)),".")</f>
        <v>3.3923498818520801</v>
      </c>
      <c r="F15" s="3">
        <f>IFERROR((s_DL)/(Doses!N13*s_GSFb*s_Fin*s_Fi*s_Fam*s_Foff*Isospec!O14*s_ETres*(1/24)*s_EFres*(1/365)),".")</f>
        <v>2.9959020639678378</v>
      </c>
      <c r="G15" s="5">
        <f>IFERROR((s_DL)/(Doses!O13*s_GSFb*s_Fin*s_Fi*s_Fam*s_Foff*Isospec!P14*s_ETres*(1/24)*s_EFres*(1/365)),".")</f>
        <v>3.5323691159283297</v>
      </c>
      <c r="H15" s="2">
        <f t="shared" ref="H15:H16" si="36">IFERROR(C15/s_1_bq,".")</f>
        <v>0.2468592464692583</v>
      </c>
      <c r="I15" s="3">
        <f t="shared" ref="I15:I16" si="37">IFERROR(D15/s_1_bq,".")</f>
        <v>7.3315809598659548E-2</v>
      </c>
      <c r="J15" s="3">
        <f t="shared" ref="J15:J16" si="38">IFERROR(E15/s_1_bq,".")</f>
        <v>0.12551694562852708</v>
      </c>
      <c r="K15" s="3">
        <f t="shared" ref="K15:K16" si="39">IFERROR(F15/s_1_bq,".")</f>
        <v>0.11084837636681011</v>
      </c>
      <c r="L15" s="5">
        <f t="shared" ref="L15:L16" si="40">IFERROR(G15/s_1_bq,".")</f>
        <v>0.13069765728934832</v>
      </c>
      <c r="M15" s="2">
        <f>IFERROR(C15*Isospec!C14*Isospec!F14*s_SSLgram,".")</f>
        <v>2.213726972391887E-8</v>
      </c>
      <c r="N15" s="3">
        <f>IFERROR(D15*Isospec!C14*Isospec!F14*s_SSLcm_m,".")</f>
        <v>6.5746447634689761E-12</v>
      </c>
      <c r="O15" s="3">
        <f>IFERROR(E15*Isospec!C14*Isospec!F14*s_SSLgram,".")</f>
        <v>1.1255816907985201E-8</v>
      </c>
      <c r="P15" s="3">
        <f>IFERROR(F15*Isospec!C14*Isospec!F14*s_SSLgram,".")</f>
        <v>9.9404030482452838E-9</v>
      </c>
      <c r="Q15" s="5">
        <f>IFERROR(G15*Isospec!C14*Isospec!F14*s_SSLgram,".")</f>
        <v>1.1720400726650196E-8</v>
      </c>
      <c r="R15" s="62">
        <f t="shared" ref="R15:R16" si="41">IF(D15&lt;&gt;".",D15*2.22*100,".")</f>
        <v>439.89485759195691</v>
      </c>
    </row>
    <row r="16" spans="1:18">
      <c r="A16" s="82" t="s">
        <v>29</v>
      </c>
      <c r="B16" s="12" t="s">
        <v>50</v>
      </c>
      <c r="C16" s="2">
        <f>IFERROR((s_DL)/(Doses!I14*s_GSFb*s_Fin*s_Fi*s_Fam*s_Foff*Isospec!M15*s_ETres*(1/24)*s_EFres*(1/365)),".")</f>
        <v>2.8289824613776413</v>
      </c>
      <c r="D16" s="3">
        <f>IFERROR((s_DL)/(Doses!L14*s_GSFb*s_Fin*s_Fi*s_Fam*s_Foff*Isospec!L15*s_ETres*(1/24)*s_EFres*(1/365)),".")</f>
        <v>1.551213611615522</v>
      </c>
      <c r="E16" s="3">
        <f>IFERROR((s_DL)/(Doses!M14*s_GSFb*s_Fin*s_Fi*s_Fam*s_Foff*Isospec!N15*s_ETres*(1/24)*s_EFres*(1/365)),".")</f>
        <v>1.9078142716526487</v>
      </c>
      <c r="F16" s="3">
        <f>IFERROR((s_DL)/(Doses!N14*s_GSFb*s_Fin*s_Fi*s_Fam*s_Foff*Isospec!O15*s_ETres*(1/24)*s_EFres*(1/365)),".")</f>
        <v>1.765015031402499</v>
      </c>
      <c r="G16" s="5">
        <f>IFERROR((s_DL)/(Doses!O14*s_GSFb*s_Fin*s_Fi*s_Fam*s_Foff*Isospec!P15*s_ETres*(1/24)*s_EFres*(1/365)),".")</f>
        <v>2.2205747204176562</v>
      </c>
      <c r="H16" s="2">
        <f t="shared" si="36"/>
        <v>0.10467235107097284</v>
      </c>
      <c r="I16" s="3">
        <f t="shared" si="37"/>
        <v>5.7394903629774369E-2</v>
      </c>
      <c r="J16" s="3">
        <f t="shared" si="38"/>
        <v>7.0589128051148073E-2</v>
      </c>
      <c r="K16" s="3">
        <f t="shared" si="39"/>
        <v>6.5305556161892528E-2</v>
      </c>
      <c r="L16" s="5">
        <f t="shared" si="40"/>
        <v>8.216126465545337E-2</v>
      </c>
      <c r="M16" s="2">
        <f>IFERROR(C16*Isospec!C15*Isospec!F15*s_SSLgram,".")</f>
        <v>9.2281407890138654E-9</v>
      </c>
      <c r="N16" s="3">
        <f>IFERROR(D16*Isospec!C15*Isospec!F15*s_SSLcm_m,".")</f>
        <v>5.0600588010898329E-12</v>
      </c>
      <c r="O16" s="3">
        <f>IFERROR(E16*Isospec!C15*Isospec!F15*s_SSLgram,".")</f>
        <v>6.2232901541309395E-9</v>
      </c>
      <c r="P16" s="3">
        <f>IFERROR(F16*Isospec!C15*Isospec!F15*s_SSLgram,".")</f>
        <v>5.7574790324349516E-9</v>
      </c>
      <c r="Q16" s="5">
        <f>IFERROR(G16*Isospec!C15*Isospec!F15*s_SSLgram,".")</f>
        <v>7.2435147380023939E-9</v>
      </c>
      <c r="R16" s="62">
        <f t="shared" si="41"/>
        <v>344.36942177864591</v>
      </c>
    </row>
    <row r="17" spans="1:18">
      <c r="A17" s="82" t="s">
        <v>32</v>
      </c>
      <c r="B17" s="12" t="s">
        <v>50</v>
      </c>
      <c r="C17" s="2" t="str">
        <f>IFERROR((s_DL)/(Doses!I15*s_GSFb*s_Fin*s_Fi*s_Fam*s_Foff*Isospec!M16*s_ETres*(1/24)*s_EFres*(1/365)),".")</f>
        <v>.</v>
      </c>
      <c r="D17" s="3" t="str">
        <f>IFERROR((s_DL)/(Doses!L15*s_GSFb*s_Fin*s_Fi*s_Fam*s_Foff*Isospec!L16*s_ETres*(1/24)*s_EFres*(1/365)),".")</f>
        <v>.</v>
      </c>
      <c r="E17" s="3" t="str">
        <f>IFERROR((s_DL)/(Doses!M15*s_GSFb*s_Fin*s_Fi*s_Fam*s_Foff*Isospec!N16*s_ETres*(1/24)*s_EFres*(1/365)),".")</f>
        <v>.</v>
      </c>
      <c r="F17" s="3" t="str">
        <f>IFERROR((s_DL)/(Doses!N15*s_GSFb*s_Fin*s_Fi*s_Fam*s_Foff*Isospec!O16*s_ETres*(1/24)*s_EFres*(1/365)),".")</f>
        <v>.</v>
      </c>
      <c r="G17" s="5" t="str">
        <f>IFERROR((s_DL)/(Doses!O15*s_GSFb*s_Fin*s_Fi*s_Fam*s_Foff*Isospec!P16*s_ETres*(1/24)*s_EFres*(1/365)),".")</f>
        <v>.</v>
      </c>
      <c r="H17" s="2" t="str">
        <f t="shared" ref="H17:H23" si="42">IFERROR(C17/s_1_bq,".")</f>
        <v>.</v>
      </c>
      <c r="I17" s="3" t="str">
        <f t="shared" ref="I17:I23" si="43">IFERROR(D17/s_1_bq,".")</f>
        <v>.</v>
      </c>
      <c r="J17" s="3" t="str">
        <f t="shared" ref="J17:J23" si="44">IFERROR(E17/s_1_bq,".")</f>
        <v>.</v>
      </c>
      <c r="K17" s="3" t="str">
        <f t="shared" ref="K17:K23" si="45">IFERROR(F17/s_1_bq,".")</f>
        <v>.</v>
      </c>
      <c r="L17" s="5" t="str">
        <f t="shared" ref="L17:L23" si="46">IFERROR(G17/s_1_bq,".")</f>
        <v>.</v>
      </c>
      <c r="M17" s="2" t="str">
        <f>IFERROR(C17*Isospec!C16*Isospec!F16*s_SSLgram,".")</f>
        <v>.</v>
      </c>
      <c r="N17" s="3" t="str">
        <f>IFERROR(D17*Isospec!C16*Isospec!F16*s_SSLcm_m,".")</f>
        <v>.</v>
      </c>
      <c r="O17" s="3" t="str">
        <f>IFERROR(E17*Isospec!C16*Isospec!F16*s_SSLgram,".")</f>
        <v>.</v>
      </c>
      <c r="P17" s="3" t="str">
        <f>IFERROR(F17*Isospec!C16*Isospec!F16*s_SSLgram,".")</f>
        <v>.</v>
      </c>
      <c r="Q17" s="5" t="str">
        <f>IFERROR(G17*Isospec!C16*Isospec!F16*s_SSLgram,".")</f>
        <v>.</v>
      </c>
      <c r="R17" s="62" t="str">
        <f t="shared" ref="R17:R23" si="47">IF(D17&lt;&gt;".",D17*2.22*100,".")</f>
        <v>.</v>
      </c>
    </row>
    <row r="18" spans="1:18">
      <c r="A18" s="82" t="s">
        <v>33</v>
      </c>
      <c r="B18" s="85" t="s">
        <v>50</v>
      </c>
      <c r="C18" s="2">
        <f>IFERROR((s_DL)/(Doses!I16*s_GSFb*s_Fin*s_Fi*s_Fam*s_Foff*Isospec!M17*s_ETres*(1/24)*s_EFres*(1/365)),".")</f>
        <v>21.351505948955445</v>
      </c>
      <c r="D18" s="3">
        <f>IFERROR((s_DL)/(Doses!L16*s_GSFb*s_Fin*s_Fi*s_Fam*s_Foff*Isospec!L17*s_ETres*(1/24)*s_EFres*(1/365)),".")</f>
        <v>4.7051409522604022</v>
      </c>
      <c r="E18" s="3">
        <f>IFERROR((s_DL)/(Doses!M16*s_GSFb*s_Fin*s_Fi*s_Fam*s_Foff*Isospec!N17*s_ETres*(1/24)*s_EFres*(1/365)),".")</f>
        <v>9.6297466262533646</v>
      </c>
      <c r="F18" s="3">
        <f>IFERROR((s_DL)/(Doses!N16*s_GSFb*s_Fin*s_Fi*s_Fam*s_Foff*Isospec!O17*s_ETres*(1/24)*s_EFres*(1/365)),".")</f>
        <v>9.7364001528573159</v>
      </c>
      <c r="G18" s="5">
        <f>IFERROR((s_DL)/(Doses!O16*s_GSFb*s_Fin*s_Fi*s_Fam*s_Foff*Isospec!P17*s_ETres*(1/24)*s_EFres*(1/365)),".")</f>
        <v>10.360881752070746</v>
      </c>
      <c r="H18" s="2">
        <f t="shared" si="42"/>
        <v>0.79000572011135228</v>
      </c>
      <c r="I18" s="3">
        <f t="shared" si="43"/>
        <v>0.17409021523363505</v>
      </c>
      <c r="J18" s="3">
        <f t="shared" si="44"/>
        <v>0.35630062517137484</v>
      </c>
      <c r="K18" s="3">
        <f t="shared" si="45"/>
        <v>0.36024680565572104</v>
      </c>
      <c r="L18" s="5">
        <f t="shared" si="46"/>
        <v>0.38335262482661797</v>
      </c>
      <c r="M18" s="2">
        <f>IFERROR(C18*Isospec!C17*Isospec!F17*s_SSLgram,".")</f>
        <v>6.2773427489929008E-8</v>
      </c>
      <c r="N18" s="3">
        <f>IFERROR(D18*Isospec!C17*Isospec!F17*s_SSLcm_m,".")</f>
        <v>1.3833114399645583E-11</v>
      </c>
      <c r="O18" s="3">
        <f>IFERROR(E18*Isospec!C17*Isospec!F17*s_SSLgram,".")</f>
        <v>2.8311455081184893E-8</v>
      </c>
      <c r="P18" s="3">
        <f>IFERROR(F18*Isospec!C17*Isospec!F17*s_SSLgram,".")</f>
        <v>2.8625016449400505E-8</v>
      </c>
      <c r="Q18" s="5">
        <f>IFERROR(G18*Isospec!C17*Isospec!F17*s_SSLgram,".")</f>
        <v>3.0460992351087991E-8</v>
      </c>
      <c r="R18" s="62">
        <f t="shared" si="47"/>
        <v>1044.5412914018095</v>
      </c>
    </row>
    <row r="19" spans="1:18">
      <c r="A19" s="82" t="s">
        <v>34</v>
      </c>
      <c r="B19" s="85" t="s">
        <v>50</v>
      </c>
      <c r="C19" s="2">
        <f>IFERROR((s_DL)/(Doses!I17*s_GSFb*s_Fin*s_Fi*s_Fam*s_Foff*Isospec!M18*s_ETres*(1/24)*s_EFres*(1/365)),".")</f>
        <v>3.3935836854272159</v>
      </c>
      <c r="D19" s="3">
        <f>IFERROR((s_DL)/(Doses!L17*s_GSFb*s_Fin*s_Fi*s_Fam*s_Foff*Isospec!L18*s_ETres*(1/24)*s_EFres*(1/365)),".")</f>
        <v>2.8377883745881269</v>
      </c>
      <c r="E19" s="3">
        <f>IFERROR((s_DL)/(Doses!M17*s_GSFb*s_Fin*s_Fi*s_Fam*s_Foff*Isospec!N18*s_ETres*(1/24)*s_EFres*(1/365)),".")</f>
        <v>2.734315072268124</v>
      </c>
      <c r="F19" s="3">
        <f>IFERROR((s_DL)/(Doses!N17*s_GSFb*s_Fin*s_Fi*s_Fam*s_Foff*Isospec!O18*s_ETres*(1/24)*s_EFres*(1/365)),".")</f>
        <v>2.7693505222068406</v>
      </c>
      <c r="G19" s="5">
        <f>IFERROR((s_DL)/(Doses!O17*s_GSFb*s_Fin*s_Fi*s_Fam*s_Foff*Isospec!P18*s_ETres*(1/24)*s_EFres*(1/365)),".")</f>
        <v>3.2361214964228182</v>
      </c>
      <c r="H19" s="2">
        <f t="shared" si="42"/>
        <v>0.1255625963608071</v>
      </c>
      <c r="I19" s="3">
        <f t="shared" si="43"/>
        <v>0.10499816985976081</v>
      </c>
      <c r="J19" s="3">
        <f t="shared" si="44"/>
        <v>0.10116965767392069</v>
      </c>
      <c r="K19" s="3">
        <f t="shared" si="45"/>
        <v>0.10246596932165321</v>
      </c>
      <c r="L19" s="5">
        <f t="shared" si="46"/>
        <v>0.1197364953676444</v>
      </c>
      <c r="M19" s="2">
        <f>IFERROR(C19*Isospec!C18*Isospec!F18*s_SSLgram,".")</f>
        <v>1.016717672153994E-8</v>
      </c>
      <c r="N19" s="3">
        <f>IFERROR(D19*Isospec!C18*Isospec!F18*s_SSLcm_m,".")</f>
        <v>8.5020139702660291E-12</v>
      </c>
      <c r="O19" s="3">
        <f>IFERROR(E19*Isospec!C18*Isospec!F18*s_SSLgram,".")</f>
        <v>8.1920079565152996E-9</v>
      </c>
      <c r="P19" s="3">
        <f>IFERROR(F19*Isospec!C18*Isospec!F18*s_SSLgram,".")</f>
        <v>8.2969741645316929E-9</v>
      </c>
      <c r="Q19" s="5">
        <f>IFERROR(G19*Isospec!C18*Isospec!F18*s_SSLgram,".")</f>
        <v>9.6954200032827622E-9</v>
      </c>
      <c r="R19" s="62">
        <f t="shared" si="47"/>
        <v>629.98901915856425</v>
      </c>
    </row>
    <row r="20" spans="1:18">
      <c r="A20" s="82" t="s">
        <v>36</v>
      </c>
      <c r="B20" s="85" t="s">
        <v>50</v>
      </c>
      <c r="C20" s="2">
        <f>IFERROR((s_DL)/(Doses!I18*s_GSFb*s_Fin*s_Fi*s_Fam*s_Foff*Isospec!M19*s_ETres*(1/24)*s_EFres*(1/365)),".")</f>
        <v>221526.71900752946</v>
      </c>
      <c r="D20" s="3">
        <f>IFERROR((s_DL)/(Doses!L18*s_GSFb*s_Fin*s_Fi*s_Fam*s_Foff*Isospec!L19*s_ETres*(1/24)*s_EFres*(1/365)),".")</f>
        <v>356983.28427726222</v>
      </c>
      <c r="E20" s="3">
        <f>IFERROR((s_DL)/(Doses!M18*s_GSFb*s_Fin*s_Fi*s_Fam*s_Foff*Isospec!N19*s_ETres*(1/24)*s_EFres*(1/365)),".")</f>
        <v>256905.84128799141</v>
      </c>
      <c r="F20" s="3">
        <f>IFERROR((s_DL)/(Doses!N18*s_GSFb*s_Fin*s_Fi*s_Fam*s_Foff*Isospec!O19*s_ETres*(1/24)*s_EFres*(1/365)),".")</f>
        <v>250796.37987105895</v>
      </c>
      <c r="G20" s="5">
        <f>IFERROR((s_DL)/(Doses!O18*s_GSFb*s_Fin*s_Fi*s_Fam*s_Foff*Isospec!P19*s_ETres*(1/24)*s_EFres*(1/365)),".")</f>
        <v>289037.77524255606</v>
      </c>
      <c r="H20" s="2">
        <f t="shared" si="42"/>
        <v>8196.488603278598</v>
      </c>
      <c r="I20" s="3">
        <f t="shared" si="43"/>
        <v>13208.381518258715</v>
      </c>
      <c r="J20" s="3">
        <f t="shared" si="44"/>
        <v>9505.5161276556919</v>
      </c>
      <c r="K20" s="3">
        <f t="shared" si="45"/>
        <v>9279.4660552291898</v>
      </c>
      <c r="L20" s="5">
        <f t="shared" si="46"/>
        <v>10694.397683974585</v>
      </c>
      <c r="M20" s="2">
        <f>IFERROR(C20*Isospec!C19*Isospec!F19*s_SSLgram,".")</f>
        <v>6.5128855388213653E-4</v>
      </c>
      <c r="N20" s="3">
        <f>IFERROR(D20*Isospec!C19*Isospec!F19*s_SSLcm_m,".")</f>
        <v>1.0495308557751511E-6</v>
      </c>
      <c r="O20" s="3">
        <f>IFERROR(E20*Isospec!C19*Isospec!F19*s_SSLgram,".")</f>
        <v>7.5530317338669479E-4</v>
      </c>
      <c r="P20" s="3">
        <f>IFERROR(F20*Isospec!C19*Isospec!F19*s_SSLgram,".")</f>
        <v>7.3734135682091318E-4</v>
      </c>
      <c r="Q20" s="5">
        <f>IFERROR(G20*Isospec!C19*Isospec!F19*s_SSLgram,".")</f>
        <v>8.497710592131147E-4</v>
      </c>
      <c r="R20" s="62">
        <f t="shared" si="47"/>
        <v>79250289.10955222</v>
      </c>
    </row>
    <row r="21" spans="1:18">
      <c r="A21" s="82" t="s">
        <v>37</v>
      </c>
      <c r="B21" s="12" t="s">
        <v>50</v>
      </c>
      <c r="C21" s="2">
        <f>IFERROR((s_DL)/(Doses!I19*s_GSFb*s_Fin*s_Fi*s_Fam*s_Foff*Isospec!M20*s_ETres*(1/24)*s_EFres*(1/365)),".")</f>
        <v>55480.523437263611</v>
      </c>
      <c r="D21" s="3">
        <f>IFERROR((s_DL)/(Doses!L19*s_GSFb*s_Fin*s_Fi*s_Fam*s_Foff*Isospec!L20*s_ETres*(1/24)*s_EFres*(1/365)),".")</f>
        <v>85729.881367909868</v>
      </c>
      <c r="E21" s="3">
        <f>IFERROR((s_DL)/(Doses!M19*s_GSFb*s_Fin*s_Fi*s_Fam*s_Foff*Isospec!N20*s_ETres*(1/24)*s_EFres*(1/365)),".")</f>
        <v>62935.075281360303</v>
      </c>
      <c r="F21" s="3">
        <f>IFERROR((s_DL)/(Doses!N19*s_GSFb*s_Fin*s_Fi*s_Fam*s_Foff*Isospec!O20*s_ETres*(1/24)*s_EFres*(1/365)),".")</f>
        <v>61360.857376331878</v>
      </c>
      <c r="G21" s="5">
        <f>IFERROR((s_DL)/(Doses!O19*s_GSFb*s_Fin*s_Fi*s_Fam*s_Foff*Isospec!P20*s_ETres*(1/24)*s_EFres*(1/365)),".")</f>
        <v>71298.025976120844</v>
      </c>
      <c r="H21" s="2">
        <f t="shared" si="42"/>
        <v>2052.7793671787558</v>
      </c>
      <c r="I21" s="3">
        <f t="shared" si="43"/>
        <v>3172.0056106126685</v>
      </c>
      <c r="J21" s="3">
        <f t="shared" si="44"/>
        <v>2328.5977854103335</v>
      </c>
      <c r="K21" s="3">
        <f t="shared" si="45"/>
        <v>2270.3517229242816</v>
      </c>
      <c r="L21" s="5">
        <f t="shared" si="46"/>
        <v>2638.026961116474</v>
      </c>
      <c r="M21" s="2">
        <f>IFERROR(C21*Isospec!C20*Isospec!F20*s_SSLgram,".")</f>
        <v>1.6544292088992008E-4</v>
      </c>
      <c r="N21" s="3">
        <f>IFERROR(D21*Isospec!C20*Isospec!F20*s_SSLcm_m,".")</f>
        <v>2.5564650623910726E-7</v>
      </c>
      <c r="O21" s="3">
        <f>IFERROR(E21*Isospec!C20*Isospec!F20*s_SSLgram,".")</f>
        <v>1.8767239448901641E-4</v>
      </c>
      <c r="P21" s="3">
        <f>IFERROR(F21*Isospec!C20*Isospec!F20*s_SSLgram,".")</f>
        <v>1.8297807669622165E-4</v>
      </c>
      <c r="Q21" s="5">
        <f>IFERROR(G21*Isospec!C20*Isospec!F20*s_SSLgram,".")</f>
        <v>2.1261071346079233E-4</v>
      </c>
      <c r="R21" s="62">
        <f t="shared" si="47"/>
        <v>19032033.663675994</v>
      </c>
    </row>
    <row r="22" spans="1:18">
      <c r="A22" s="82" t="s">
        <v>38</v>
      </c>
      <c r="B22" s="85" t="s">
        <v>50</v>
      </c>
      <c r="C22" s="2">
        <f>IFERROR((s_DL)/(Doses!I20*s_GSFb*s_Fin*s_Fi*s_Fam*s_Foff*Isospec!M21*s_ETres*(1/24)*s_EFres*(1/365)),".")</f>
        <v>25756.1171624833</v>
      </c>
      <c r="D22" s="3">
        <f>IFERROR((s_DL)/(Doses!L20*s_GSFb*s_Fin*s_Fi*s_Fam*s_Foff*Isospec!L21*s_ETres*(1/24)*s_EFres*(1/365)),".")</f>
        <v>41490.212972057721</v>
      </c>
      <c r="E22" s="3">
        <f>IFERROR((s_DL)/(Doses!M20*s_GSFb*s_Fin*s_Fi*s_Fam*s_Foff*Isospec!N21*s_ETres*(1/24)*s_EFres*(1/365)),".")</f>
        <v>29855.899774098805</v>
      </c>
      <c r="F22" s="3">
        <f>IFERROR((s_DL)/(Doses!N20*s_GSFb*s_Fin*s_Fi*s_Fam*s_Foff*Isospec!O21*s_ETres*(1/24)*s_EFres*(1/365)),".")</f>
        <v>29109.447358507183</v>
      </c>
      <c r="G22" s="5">
        <f>IFERROR((s_DL)/(Doses!O20*s_GSFb*s_Fin*s_Fi*s_Fam*s_Foff*Isospec!P21*s_ETres*(1/24)*s_EFres*(1/365)),".")</f>
        <v>33569.764437273923</v>
      </c>
      <c r="H22" s="2">
        <f t="shared" si="42"/>
        <v>952.97633501188307</v>
      </c>
      <c r="I22" s="3">
        <f t="shared" si="43"/>
        <v>1535.1378799661372</v>
      </c>
      <c r="J22" s="3">
        <f t="shared" si="44"/>
        <v>1104.6682916416569</v>
      </c>
      <c r="K22" s="3">
        <f t="shared" si="45"/>
        <v>1077.0495522647668</v>
      </c>
      <c r="L22" s="5">
        <f t="shared" si="46"/>
        <v>1242.0812841791364</v>
      </c>
      <c r="M22" s="2">
        <f>IFERROR(C22*Isospec!C21*Isospec!F21*s_SSLgram,".")</f>
        <v>7.7165327018799962E-5</v>
      </c>
      <c r="N22" s="3">
        <f>IFERROR(D22*Isospec!C21*Isospec!F21*s_SSLcm_m,".")</f>
        <v>1.2430467806428495E-7</v>
      </c>
      <c r="O22" s="3">
        <f>IFERROR(E22*Isospec!C21*Isospec!F21*s_SSLgram,".")</f>
        <v>8.944827572320001E-5</v>
      </c>
      <c r="P22" s="3">
        <f>IFERROR(F22*Isospec!C21*Isospec!F21*s_SSLgram,".")</f>
        <v>8.7211904286087528E-5</v>
      </c>
      <c r="Q22" s="5">
        <f>IFERROR(G22*Isospec!C21*Isospec!F21*s_SSLgram,".")</f>
        <v>1.0057501425407267E-4</v>
      </c>
      <c r="R22" s="62">
        <f t="shared" si="47"/>
        <v>9210827.2797968145</v>
      </c>
    </row>
    <row r="23" spans="1:18">
      <c r="A23" s="82" t="s">
        <v>39</v>
      </c>
      <c r="B23" s="85" t="s">
        <v>50</v>
      </c>
      <c r="C23" s="2" t="str">
        <f>IFERROR((s_DL)/(Doses!I21*s_GSFb*s_Fin*s_Fi*s_Fam*s_Foff*Isospec!M22*s_ETres*(1/24)*s_EFres*(1/365)),".")</f>
        <v>.</v>
      </c>
      <c r="D23" s="3" t="str">
        <f>IFERROR((s_DL)/(Doses!L21*s_GSFb*s_Fin*s_Fi*s_Fam*s_Foff*Isospec!L22*s_ETres*(1/24)*s_EFres*(1/365)),".")</f>
        <v>.</v>
      </c>
      <c r="E23" s="3" t="str">
        <f>IFERROR((s_DL)/(Doses!M21*s_GSFb*s_Fin*s_Fi*s_Fam*s_Foff*Isospec!N22*s_ETres*(1/24)*s_EFres*(1/365)),".")</f>
        <v>.</v>
      </c>
      <c r="F23" s="3" t="str">
        <f>IFERROR((s_DL)/(Doses!N21*s_GSFb*s_Fin*s_Fi*s_Fam*s_Foff*Isospec!O22*s_ETres*(1/24)*s_EFres*(1/365)),".")</f>
        <v>.</v>
      </c>
      <c r="G23" s="5" t="str">
        <f>IFERROR((s_DL)/(Doses!O21*s_GSFb*s_Fin*s_Fi*s_Fam*s_Foff*Isospec!P22*s_ETres*(1/24)*s_EFres*(1/365)),".")</f>
        <v>.</v>
      </c>
      <c r="H23" s="2" t="str">
        <f t="shared" si="42"/>
        <v>.</v>
      </c>
      <c r="I23" s="3" t="str">
        <f t="shared" si="43"/>
        <v>.</v>
      </c>
      <c r="J23" s="3" t="str">
        <f t="shared" si="44"/>
        <v>.</v>
      </c>
      <c r="K23" s="3" t="str">
        <f t="shared" si="45"/>
        <v>.</v>
      </c>
      <c r="L23" s="5" t="str">
        <f t="shared" si="46"/>
        <v>.</v>
      </c>
      <c r="M23" s="2" t="str">
        <f>IFERROR(C23*Isospec!C22*Isospec!F22*s_SSLgram,".")</f>
        <v>.</v>
      </c>
      <c r="N23" s="3" t="str">
        <f>IFERROR(D23*Isospec!C22*Isospec!F22*s_SSLcm_m,".")</f>
        <v>.</v>
      </c>
      <c r="O23" s="3" t="str">
        <f>IFERROR(E23*Isospec!C22*Isospec!F22*s_SSLgram,".")</f>
        <v>.</v>
      </c>
      <c r="P23" s="3" t="str">
        <f>IFERROR(F23*Isospec!C22*Isospec!F22*s_SSLgram,".")</f>
        <v>.</v>
      </c>
      <c r="Q23" s="5" t="str">
        <f>IFERROR(G23*Isospec!C22*Isospec!F22*s_SSLgram,".")</f>
        <v>.</v>
      </c>
      <c r="R23" s="62" t="str">
        <f t="shared" si="47"/>
        <v>.</v>
      </c>
    </row>
    <row r="24" spans="1:18">
      <c r="A24" s="82" t="s">
        <v>26</v>
      </c>
      <c r="B24" s="12" t="s">
        <v>50</v>
      </c>
      <c r="C24" s="2">
        <f>IFERROR((s_DL)/(Doses!I22*s_GSFb*s_Fin*s_Fi*s_Fam*s_Foff*Isospec!M23*s_ETres*(1/24)*s_EFres*(1/365)),".")</f>
        <v>4.8168791264894208</v>
      </c>
      <c r="D24" s="3">
        <f>IFERROR((s_DL)/(Doses!L22*s_GSFb*s_Fin*s_Fi*s_Fam*s_Foff*Isospec!L23*s_ETres*(1/24)*s_EFres*(1/365)),".")</f>
        <v>5.4119816675032073</v>
      </c>
      <c r="E24" s="3">
        <f>IFERROR((s_DL)/(Doses!M22*s_GSFb*s_Fin*s_Fi*s_Fam*s_Foff*Isospec!N23*s_ETres*(1/24)*s_EFres*(1/365)),".")</f>
        <v>8.5911847846932758</v>
      </c>
      <c r="F24" s="3">
        <f>IFERROR((s_DL)/(Doses!N22*s_GSFb*s_Fin*s_Fi*s_Fam*s_Foff*Isospec!O23*s_ETres*(1/24)*s_EFres*(1/365)),".")</f>
        <v>8.1431138406299493</v>
      </c>
      <c r="G24" s="5">
        <f>IFERROR((s_DL)/(Doses!O22*s_GSFb*s_Fin*s_Fi*s_Fam*s_Foff*Isospec!P23*s_ETres*(1/24)*s_EFres*(1/365)),".")</f>
        <v>8.9773778328692799</v>
      </c>
      <c r="H24" s="2">
        <f t="shared" ref="H24:H25" si="48">IFERROR(C24/s_1_bq,".")</f>
        <v>0.17822452768010874</v>
      </c>
      <c r="I24" s="3">
        <f t="shared" ref="I24:I25" si="49">IFERROR(D24/s_1_bq,".")</f>
        <v>0.20024332169761888</v>
      </c>
      <c r="J24" s="3">
        <f t="shared" ref="J24:J25" si="50">IFERROR(E24/s_1_bq,".")</f>
        <v>0.31787383703365152</v>
      </c>
      <c r="K24" s="3">
        <f t="shared" ref="K24:K25" si="51">IFERROR(F24/s_1_bq,".")</f>
        <v>0.30129521210330845</v>
      </c>
      <c r="L24" s="5">
        <f t="shared" ref="L24:L25" si="52">IFERROR(G24/s_1_bq,".")</f>
        <v>0.33216297981616372</v>
      </c>
      <c r="M24" s="2">
        <f>IFERROR(C24*Isospec!C23*Isospec!F23*s_SSLgram,".")</f>
        <v>1.5173169248441676E-8</v>
      </c>
      <c r="N24" s="3">
        <f>IFERROR(D24*Isospec!C23*Isospec!F23*s_SSLcm_m,".")</f>
        <v>1.7047742252635102E-11</v>
      </c>
      <c r="O24" s="3">
        <f>IFERROR(E24*Isospec!C23*Isospec!F23*s_SSLgram,".")</f>
        <v>2.7062232071783818E-8</v>
      </c>
      <c r="P24" s="3">
        <f>IFERROR(F24*Isospec!C23*Isospec!F23*s_SSLgram,".")</f>
        <v>2.5650808597984341E-8</v>
      </c>
      <c r="Q24" s="5">
        <f>IFERROR(G24*Isospec!C23*Isospec!F23*s_SSLgram,".")</f>
        <v>2.8278740173538229E-8</v>
      </c>
      <c r="R24" s="62">
        <f t="shared" ref="R24:R25" si="53">IF(D24&lt;&gt;".",D24*2.22*100,".")</f>
        <v>1201.4599301857122</v>
      </c>
    </row>
    <row r="25" spans="1:18">
      <c r="A25" s="83" t="s">
        <v>27</v>
      </c>
      <c r="B25" s="85" t="s">
        <v>44</v>
      </c>
      <c r="C25" s="2">
        <f>IFERROR((s_DL)/(Doses!I23*s_GSFb*s_Fin*s_Fi*s_Fam*s_Foff*Isospec!M24*s_ETres*(1/24)*s_EFres*(1/365)),".")</f>
        <v>79.215961681332871</v>
      </c>
      <c r="D25" s="3">
        <f>IFERROR((s_DL)/(Doses!L23*s_GSFb*s_Fin*s_Fi*s_Fam*s_Foff*Isospec!L24*s_ETres*(1/24)*s_EFres*(1/365)),".")</f>
        <v>3.9858378551355069</v>
      </c>
      <c r="E25" s="3">
        <f>IFERROR((s_DL)/(Doses!M23*s_GSFb*s_Fin*s_Fi*s_Fam*s_Foff*Isospec!N24*s_ETres*(1/24)*s_EFres*(1/365)),".")</f>
        <v>3.0680616997357122</v>
      </c>
      <c r="F25" s="3">
        <f>IFERROR((s_DL)/(Doses!N23*s_GSFb*s_Fin*s_Fi*s_Fam*s_Foff*Isospec!O24*s_ETres*(1/24)*s_EFres*(1/365)),".")</f>
        <v>3.1231399112380336</v>
      </c>
      <c r="G25" s="5">
        <f>IFERROR((s_DL)/(Doses!O23*s_GSFb*s_Fin*s_Fi*s_Fam*s_Foff*Isospec!P24*s_ETres*(1/24)*s_EFres*(1/365)),".")</f>
        <v>2.9493478570457206</v>
      </c>
      <c r="H25" s="2">
        <f t="shared" si="48"/>
        <v>2.9309905822093194</v>
      </c>
      <c r="I25" s="3">
        <f t="shared" si="49"/>
        <v>0.1474760006400139</v>
      </c>
      <c r="J25" s="3">
        <f t="shared" si="50"/>
        <v>0.11351828289022146</v>
      </c>
      <c r="K25" s="3">
        <f t="shared" si="51"/>
        <v>0.11555617671580735</v>
      </c>
      <c r="L25" s="5">
        <f t="shared" si="52"/>
        <v>0.10912587071069177</v>
      </c>
      <c r="M25" s="2">
        <f>IFERROR(C25*Isospec!C24*Isospec!F24*s_SSLgram,".")</f>
        <v>2.5063930275973718E-7</v>
      </c>
      <c r="N25" s="3">
        <f>IFERROR(D25*Isospec!C24*Isospec!F24*s_SSLcm_m,".")</f>
        <v>1.2611190973648745E-11</v>
      </c>
      <c r="O25" s="3">
        <f>IFERROR(E25*Isospec!C24*Isospec!F24*s_SSLgram,".")</f>
        <v>9.7073472179637924E-9</v>
      </c>
      <c r="P25" s="3">
        <f>IFERROR(F25*Isospec!C24*Isospec!F24*s_SSLgram,".")</f>
        <v>9.881614679157138E-9</v>
      </c>
      <c r="Q25" s="5">
        <f>IFERROR(G25*Isospec!C24*Isospec!F24*s_SSLgram,".")</f>
        <v>9.3317366196926599E-9</v>
      </c>
      <c r="R25" s="62">
        <f t="shared" si="53"/>
        <v>884.85600384008262</v>
      </c>
    </row>
    <row r="26" spans="1:18">
      <c r="A26" s="82" t="s">
        <v>30</v>
      </c>
      <c r="B26" s="85" t="s">
        <v>50</v>
      </c>
      <c r="C26" s="2">
        <f>IFERROR((s_DL)/(Doses!I24*s_GSFb*s_Fin*s_Fi*s_Fam*s_Foff*Isospec!M25*s_ETres*(1/24)*s_EFres*(1/365)),".")</f>
        <v>2351.3936916632279</v>
      </c>
      <c r="D26" s="3">
        <f>IFERROR((s_DL)/(Doses!L24*s_GSFb*s_Fin*s_Fi*s_Fam*s_Foff*Isospec!L25*s_ETres*(1/24)*s_EFres*(1/365)),".")</f>
        <v>3370.8443059612132</v>
      </c>
      <c r="E26" s="3">
        <f>IFERROR((s_DL)/(Doses!M24*s_GSFb*s_Fin*s_Fi*s_Fam*s_Foff*Isospec!N25*s_ETres*(1/24)*s_EFres*(1/365)),".")</f>
        <v>2478.1474543292029</v>
      </c>
      <c r="F26" s="3">
        <f>IFERROR((s_DL)/(Doses!N24*s_GSFb*s_Fin*s_Fi*s_Fam*s_Foff*Isospec!O25*s_ETres*(1/24)*s_EFres*(1/365)),".")</f>
        <v>2258.4381217500968</v>
      </c>
      <c r="G26" s="5">
        <f>IFERROR((s_DL)/(Doses!O24*s_GSFb*s_Fin*s_Fi*s_Fam*s_Foff*Isospec!P25*s_ETres*(1/24)*s_EFres*(1/365)),".")</f>
        <v>2860.2721510716178</v>
      </c>
      <c r="H26" s="2">
        <f t="shared" ref="H26" si="54">IFERROR(C26/s_1_bq,".")</f>
        <v>87.001566591539515</v>
      </c>
      <c r="I26" s="3">
        <f t="shared" ref="I26" si="55">IFERROR(D26/s_1_bq,".")</f>
        <v>124.72123932056502</v>
      </c>
      <c r="J26" s="3">
        <f t="shared" ref="J26" si="56">IFERROR(E26/s_1_bq,".")</f>
        <v>91.691455810180599</v>
      </c>
      <c r="K26" s="3">
        <f t="shared" ref="K26" si="57">IFERROR(F26/s_1_bq,".")</f>
        <v>83.562210504753665</v>
      </c>
      <c r="L26" s="5">
        <f t="shared" ref="L26" si="58">IFERROR(G26/s_1_bq,".")</f>
        <v>105.83006958964997</v>
      </c>
      <c r="M26" s="2">
        <f>IFERROR(C26*Isospec!C25*Isospec!F25*s_SSLgram,".")</f>
        <v>7.1764535469561711E-6</v>
      </c>
      <c r="N26" s="3">
        <f>IFERROR(D26*Isospec!C25*Isospec!F25*s_SSLcm_m,".")</f>
        <v>1.0287816821793622E-8</v>
      </c>
      <c r="O26" s="3">
        <f>IFERROR(E26*Isospec!C25*Isospec!F25*s_SSLgram,".")</f>
        <v>7.5633060306127268E-6</v>
      </c>
      <c r="P26" s="3">
        <f>IFERROR(F26*Isospec!C25*Isospec!F25*s_SSLgram,".")</f>
        <v>6.8927531475812949E-6</v>
      </c>
      <c r="Q26" s="5">
        <f>IFERROR(G26*Isospec!C25*Isospec!F25*s_SSLgram,".")</f>
        <v>8.7295506050705779E-6</v>
      </c>
      <c r="R26" s="62">
        <f t="shared" ref="R26:R27" si="59">IF(D26&lt;&gt;".",D26*2.22*100,".")</f>
        <v>748327.43592338939</v>
      </c>
    </row>
    <row r="27" spans="1:18">
      <c r="A27" s="83" t="s">
        <v>31</v>
      </c>
      <c r="B27" s="85" t="s">
        <v>44</v>
      </c>
      <c r="C27" s="2">
        <f>IFERROR((s_DL)/(Doses!I25*s_GSFb*s_Fin*s_Fi*s_Fam*s_Foff*Isospec!M26*s_ETres*(1/24)*s_EFres*(1/365)),".")</f>
        <v>3778.717474141803</v>
      </c>
      <c r="D27" s="3">
        <f>IFERROR((s_DL)/(Doses!L25*s_GSFb*s_Fin*s_Fi*s_Fam*s_Foff*Isospec!L26*s_ETres*(1/24)*s_EFres*(1/365)),".")</f>
        <v>5339.8592549120085</v>
      </c>
      <c r="E27" s="3">
        <f>IFERROR((s_DL)/(Doses!M25*s_GSFb*s_Fin*s_Fi*s_Fam*s_Foff*Isospec!N26*s_ETres*(1/24)*s_EFres*(1/365)),".")</f>
        <v>4083.5109580442449</v>
      </c>
      <c r="F27" s="3">
        <f>IFERROR((s_DL)/(Doses!N25*s_GSFb*s_Fin*s_Fi*s_Fam*s_Foff*Isospec!O26*s_ETres*(1/24)*s_EFres*(1/365)),".")</f>
        <v>3511.0557800007959</v>
      </c>
      <c r="G27" s="5">
        <f>IFERROR((s_DL)/(Doses!O25*s_GSFb*s_Fin*s_Fi*s_Fam*s_Foff*Isospec!P26*s_ETres*(1/24)*s_EFres*(1/365)),".")</f>
        <v>3765.3756173666447</v>
      </c>
      <c r="H27" s="2">
        <f t="shared" ref="H27" si="60">IFERROR(C27/s_1_bq,".")</f>
        <v>139.81254654324684</v>
      </c>
      <c r="I27" s="3">
        <f t="shared" ref="I27" si="61">IFERROR(D27/s_1_bq,".")</f>
        <v>197.57479243174453</v>
      </c>
      <c r="J27" s="3">
        <f t="shared" ref="J27" si="62">IFERROR(E27/s_1_bq,".")</f>
        <v>151.08990544763722</v>
      </c>
      <c r="K27" s="3">
        <f t="shared" ref="K27" si="63">IFERROR(F27/s_1_bq,".")</f>
        <v>129.90906386002959</v>
      </c>
      <c r="L27" s="5">
        <f t="shared" ref="L27" si="64">IFERROR(G27/s_1_bq,".")</f>
        <v>139.318897842566</v>
      </c>
      <c r="M27" s="2">
        <f>IFERROR(C27*Isospec!C26*Isospec!F26*s_SSLgram,".")</f>
        <v>1.1744253909632721E-5</v>
      </c>
      <c r="N27" s="3">
        <f>IFERROR(D27*Isospec!C26*Isospec!F26*s_SSLcm_m,".")</f>
        <v>1.6596282564266521E-8</v>
      </c>
      <c r="O27" s="3">
        <f>IFERROR(E27*Isospec!C26*Isospec!F26*s_SSLgram,".")</f>
        <v>1.2691552057601511E-5</v>
      </c>
      <c r="P27" s="3">
        <f>IFERROR(F27*Isospec!C26*Isospec!F26*s_SSLgram,".")</f>
        <v>1.0912361364242474E-5</v>
      </c>
      <c r="Q27" s="5">
        <f>IFERROR(G27*Isospec!C26*Isospec!F26*s_SSLgram,".")</f>
        <v>1.1702787418775532E-5</v>
      </c>
      <c r="R27" s="62">
        <f t="shared" si="59"/>
        <v>1185448.7545904659</v>
      </c>
    </row>
    <row r="28" spans="1:18">
      <c r="A28" s="82" t="s">
        <v>35</v>
      </c>
      <c r="B28" s="12" t="s">
        <v>50</v>
      </c>
      <c r="C28" s="2">
        <f>IFERROR((s_DL)/(Doses!I26*s_GSFb*s_Fin*s_Fi*s_Fam*s_Foff*Isospec!M27*s_ETres*(1/24)*s_EFres*(1/365)),".")</f>
        <v>5.9067729070037256</v>
      </c>
      <c r="D28" s="3">
        <f>IFERROR((s_DL)/(Doses!L26*s_GSFb*s_Fin*s_Fi*s_Fam*s_Foff*Isospec!L27*s_ETres*(1/24)*s_EFres*(1/365)),".")</f>
        <v>1.140525531024605</v>
      </c>
      <c r="E28" s="3">
        <f>IFERROR((s_DL)/(Doses!M26*s_GSFb*s_Fin*s_Fi*s_Fam*s_Foff*Isospec!N27*s_ETres*(1/24)*s_EFres*(1/365)),".")</f>
        <v>1.7130051714518695</v>
      </c>
      <c r="F28" s="3">
        <f>IFERROR((s_DL)/(Doses!N26*s_GSFb*s_Fin*s_Fi*s_Fam*s_Foff*Isospec!O27*s_ETres*(1/24)*s_EFres*(1/365)),".")</f>
        <v>1.6986949257656536</v>
      </c>
      <c r="G28" s="5">
        <f>IFERROR((s_DL)/(Doses!O26*s_GSFb*s_Fin*s_Fi*s_Fam*s_Foff*Isospec!P27*s_ETres*(1/24)*s_EFres*(1/365)),".")</f>
        <v>1.9898760048743716</v>
      </c>
      <c r="H28" s="2">
        <f t="shared" ref="H28:H31" si="65">IFERROR(C28/s_1_bq,".")</f>
        <v>0.21855059755913805</v>
      </c>
      <c r="I28" s="3">
        <f t="shared" ref="I28:I31" si="66">IFERROR(D28/s_1_bq,".")</f>
        <v>4.2199444647910429E-2</v>
      </c>
      <c r="J28" s="3">
        <f t="shared" ref="J28:J31" si="67">IFERROR(E28/s_1_bq,".")</f>
        <v>6.3381191343719237E-2</v>
      </c>
      <c r="K28" s="3">
        <f t="shared" ref="K28:K31" si="68">IFERROR(F28/s_1_bq,".")</f>
        <v>6.285171225332925E-2</v>
      </c>
      <c r="L28" s="5">
        <f t="shared" ref="L28:L31" si="69">IFERROR(G28/s_1_bq,".")</f>
        <v>7.3625412180351818E-2</v>
      </c>
      <c r="M28" s="2">
        <f>IFERROR(C28*Isospec!C27*Isospec!F27*s_SSLgram,".")</f>
        <v>1.8937113939853943E-8</v>
      </c>
      <c r="N28" s="3">
        <f>IFERROR(D28*Isospec!C27*Isospec!F27*s_SSLcm_m,".")</f>
        <v>3.6565248524648842E-12</v>
      </c>
      <c r="O28" s="3">
        <f>IFERROR(E28*Isospec!C27*Isospec!F27*s_SSLgram,".")</f>
        <v>5.4918945796746925E-9</v>
      </c>
      <c r="P28" s="3">
        <f>IFERROR(F28*Isospec!C27*Isospec!F27*s_SSLgram,".")</f>
        <v>5.4460159320046855E-9</v>
      </c>
      <c r="Q28" s="5">
        <f>IFERROR(G28*Isospec!C27*Isospec!F27*s_SSLgram,".")</f>
        <v>6.3795424716272348E-9</v>
      </c>
      <c r="R28" s="62">
        <f t="shared" ref="R28:R31" si="70">IF(D28&lt;&gt;".",D28*2.22*100,".")</f>
        <v>253.19666788746233</v>
      </c>
    </row>
    <row r="29" spans="1:18">
      <c r="A29" s="82" t="s">
        <v>40</v>
      </c>
      <c r="B29" s="85" t="s">
        <v>50</v>
      </c>
      <c r="C29" s="2">
        <f>IFERROR((s_DL)/(Doses!I27*s_GSFb*s_Fin*s_Fi*s_Fam*s_Foff*Isospec!M28*s_ETres*(1/24)*s_EFres*(1/365)),".")</f>
        <v>4731.2761305078484</v>
      </c>
      <c r="D29" s="3">
        <f>IFERROR((s_DL)/(Doses!L27*s_GSFb*s_Fin*s_Fi*s_Fam*s_Foff*Isospec!L28*s_ETres*(1/24)*s_EFres*(1/365)),".")</f>
        <v>2100.2214125091041</v>
      </c>
      <c r="E29" s="3">
        <f>IFERROR((s_DL)/(Doses!M27*s_GSFb*s_Fin*s_Fi*s_Fam*s_Foff*Isospec!N28*s_ETres*(1/24)*s_EFres*(1/365)),".")</f>
        <v>2596.388904847262</v>
      </c>
      <c r="F29" s="3">
        <f>IFERROR((s_DL)/(Doses!N27*s_GSFb*s_Fin*s_Fi*s_Fam*s_Foff*Isospec!O28*s_ETres*(1/24)*s_EFres*(1/365)),".")</f>
        <v>3276.6181571977068</v>
      </c>
      <c r="G29" s="5">
        <f>IFERROR((s_DL)/(Doses!O27*s_GSFb*s_Fin*s_Fi*s_Fam*s_Foff*Isospec!P28*s_ETres*(1/24)*s_EFres*(1/365)),".")</f>
        <v>3127.5292468325397</v>
      </c>
      <c r="H29" s="2">
        <f t="shared" si="65"/>
        <v>175.05721682879056</v>
      </c>
      <c r="I29" s="3">
        <f t="shared" si="66"/>
        <v>77.708192262836931</v>
      </c>
      <c r="J29" s="3">
        <f t="shared" si="67"/>
        <v>96.066389479348786</v>
      </c>
      <c r="K29" s="3">
        <f t="shared" si="68"/>
        <v>121.23487181631528</v>
      </c>
      <c r="L29" s="5">
        <f t="shared" si="69"/>
        <v>115.71858213280409</v>
      </c>
      <c r="M29" s="2">
        <f>IFERROR(C29*Isospec!C28*Isospec!F28*s_SSLgram,".")</f>
        <v>1.3645000360384634E-5</v>
      </c>
      <c r="N29" s="3">
        <f>IFERROR(D29*Isospec!C28*Isospec!F28*s_SSLcm_m,".")</f>
        <v>6.0570385536762569E-9</v>
      </c>
      <c r="O29" s="3">
        <f>IFERROR(E29*Isospec!C28*Isospec!F28*s_SSLgram,".")</f>
        <v>7.4879856015795034E-6</v>
      </c>
      <c r="P29" s="3">
        <f>IFERROR(F29*Isospec!C28*Isospec!F28*s_SSLgram,".")</f>
        <v>9.4497667653581858E-6</v>
      </c>
      <c r="Q29" s="5">
        <f>IFERROR(G29*Isospec!C28*Isospec!F28*s_SSLgram,".")</f>
        <v>9.0197943478650421E-6</v>
      </c>
      <c r="R29" s="62">
        <f t="shared" si="70"/>
        <v>466249.15357702109</v>
      </c>
    </row>
    <row r="30" spans="1:18">
      <c r="A30" s="82" t="s">
        <v>41</v>
      </c>
      <c r="B30" s="12" t="s">
        <v>50</v>
      </c>
      <c r="C30" s="2">
        <f>IFERROR((s_DL)/(Doses!I28*s_GSFb*s_Fin*s_Fi*s_Fam*s_Foff*Isospec!M29*s_ETres*(1/24)*s_EFres*(1/365)),".")</f>
        <v>1.1158057335349794</v>
      </c>
      <c r="D30" s="3">
        <f>IFERROR((s_DL)/(Doses!L28*s_GSFb*s_Fin*s_Fi*s_Fam*s_Foff*Isospec!L29*s_ETres*(1/24)*s_EFres*(1/365)),".")</f>
        <v>1.1963554033478441</v>
      </c>
      <c r="E30" s="3">
        <f>IFERROR((s_DL)/(Doses!M28*s_GSFb*s_Fin*s_Fi*s_Fam*s_Foff*Isospec!N29*s_ETres*(1/24)*s_EFres*(1/365)),".")</f>
        <v>0.97795840609545026</v>
      </c>
      <c r="F30" s="3">
        <f>IFERROR((s_DL)/(Doses!N28*s_GSFb*s_Fin*s_Fi*s_Fam*s_Foff*Isospec!O29*s_ETres*(1/24)*s_EFres*(1/365)),".")</f>
        <v>0.97256508343840564</v>
      </c>
      <c r="G30" s="5">
        <f>IFERROR((s_DL)/(Doses!O28*s_GSFb*s_Fin*s_Fi*s_Fam*s_Foff*Isospec!P29*s_ETres*(1/24)*s_EFres*(1/365)),".")</f>
        <v>1.1269846627942126</v>
      </c>
      <c r="H30" s="2">
        <f t="shared" si="65"/>
        <v>4.1284812140794276E-2</v>
      </c>
      <c r="I30" s="3">
        <f t="shared" si="66"/>
        <v>4.4265149923870276E-2</v>
      </c>
      <c r="J30" s="3">
        <f t="shared" si="67"/>
        <v>3.6184461025531696E-2</v>
      </c>
      <c r="K30" s="3">
        <f t="shared" si="68"/>
        <v>3.5984908087221046E-2</v>
      </c>
      <c r="L30" s="5">
        <f t="shared" si="69"/>
        <v>4.1698432523385912E-2</v>
      </c>
      <c r="M30" s="2">
        <f>IFERROR(C30*Isospec!C29*Isospec!F29*s_SSLgram,".")</f>
        <v>3.2648475763233492E-9</v>
      </c>
      <c r="N30" s="3">
        <f>IFERROR(D30*Isospec!C29*Isospec!F29*s_SSLcm_m,".")</f>
        <v>3.5005359101957923E-12</v>
      </c>
      <c r="O30" s="3">
        <f>IFERROR(E30*Isospec!C29*Isospec!F29*s_SSLgram,".")</f>
        <v>2.8615062962352868E-9</v>
      </c>
      <c r="P30" s="3">
        <f>IFERROR(F30*Isospec!C29*Isospec!F29*s_SSLgram,".")</f>
        <v>2.8457254341407747E-9</v>
      </c>
      <c r="Q30" s="5">
        <f>IFERROR(G30*Isospec!C29*Isospec!F29*s_SSLgram,".")</f>
        <v>3.2975571233358659E-9</v>
      </c>
      <c r="R30" s="62">
        <f t="shared" si="70"/>
        <v>265.59089954322144</v>
      </c>
    </row>
    <row r="31" spans="1:18">
      <c r="A31" s="82" t="s">
        <v>42</v>
      </c>
      <c r="B31" s="85" t="s">
        <v>50</v>
      </c>
      <c r="C31" s="2">
        <f>IFERROR((s_DL)/(Doses!I29*s_GSFb*s_Fin*s_Fi*s_Fam*s_Foff*Isospec!M30*s_ETres*(1/24)*s_EFres*(1/365)),".")</f>
        <v>0.90107007826873486</v>
      </c>
      <c r="D31" s="3">
        <f>IFERROR((s_DL)/(Doses!L29*s_GSFb*s_Fin*s_Fi*s_Fam*s_Foff*Isospec!L30*s_ETres*(1/24)*s_EFres*(1/365)),".")</f>
        <v>1.0942102914824987</v>
      </c>
      <c r="E31" s="3">
        <f>IFERROR((s_DL)/(Doses!M29*s_GSFb*s_Fin*s_Fi*s_Fam*s_Foff*Isospec!N30*s_ETres*(1/24)*s_EFres*(1/365)),".")</f>
        <v>0.91863883398982915</v>
      </c>
      <c r="F31" s="3">
        <f>IFERROR((s_DL)/(Doses!N29*s_GSFb*s_Fin*s_Fi*s_Fam*s_Foff*Isospec!O30*s_ETres*(1/24)*s_EFres*(1/365)),".")</f>
        <v>0.90293072462983681</v>
      </c>
      <c r="G31" s="5">
        <f>IFERROR((s_DL)/(Doses!O29*s_GSFb*s_Fin*s_Fi*s_Fam*s_Foff*Isospec!P30*s_ETres*(1/24)*s_EFres*(1/365)),".")</f>
        <v>1.0559764276801133</v>
      </c>
      <c r="H31" s="2">
        <f t="shared" si="65"/>
        <v>3.3339592895943224E-2</v>
      </c>
      <c r="I31" s="3">
        <f t="shared" si="66"/>
        <v>4.0485780784852494E-2</v>
      </c>
      <c r="J31" s="3">
        <f t="shared" si="67"/>
        <v>3.3989636857623712E-2</v>
      </c>
      <c r="K31" s="3">
        <f t="shared" si="68"/>
        <v>3.3408436811303996E-2</v>
      </c>
      <c r="L31" s="5">
        <f t="shared" si="69"/>
        <v>3.9071127824164234E-2</v>
      </c>
      <c r="M31" s="2">
        <f>IFERROR(C31*Isospec!C30*Isospec!F30*s_SSLgram,".")</f>
        <v>2.6491460301100799E-9</v>
      </c>
      <c r="N31" s="3">
        <f>IFERROR(D31*Isospec!C30*Isospec!F30*s_SSLcm_m,".")</f>
        <v>3.2169782569585463E-12</v>
      </c>
      <c r="O31" s="3">
        <f>IFERROR(E31*Isospec!C30*Isospec!F30*s_SSLgram,".")</f>
        <v>2.7007981719300977E-9</v>
      </c>
      <c r="P31" s="3">
        <f>IFERROR(F31*Isospec!C30*Isospec!F30*s_SSLgram,".")</f>
        <v>2.6546163304117197E-9</v>
      </c>
      <c r="Q31" s="5">
        <f>IFERROR(G31*Isospec!C30*Isospec!F30*s_SSLgram,".")</f>
        <v>3.1045706973795327E-9</v>
      </c>
      <c r="R31" s="62">
        <f t="shared" si="70"/>
        <v>242.91468470911474</v>
      </c>
    </row>
    <row r="32" spans="1:18">
      <c r="A32" s="82" t="s">
        <v>25</v>
      </c>
      <c r="B32" s="12" t="s">
        <v>50</v>
      </c>
      <c r="C32" s="2">
        <f>IFERROR((s_DL)/(Doses!I30*s_GSFb*s_Fin*s_Fi*s_Fam*s_Foff*Isospec!M31*s_ETres*(1/24)*s_EFres*(1/365)),".")</f>
        <v>6.363312723320468</v>
      </c>
      <c r="D32" s="3">
        <f>IFERROR((s_DL)/(Doses!L30*s_GSFb*s_Fin*s_Fi*s_Fam*s_Foff*Isospec!L31*s_ETres*(1/24)*s_EFres*(1/365)),".")</f>
        <v>21.98951315814973</v>
      </c>
      <c r="E32" s="3">
        <f>IFERROR((s_DL)/(Doses!M30*s_GSFb*s_Fin*s_Fi*s_Fam*s_Foff*Isospec!N31*s_ETres*(1/24)*s_EFres*(1/365)),".")</f>
        <v>45.055145306426802</v>
      </c>
      <c r="F32" s="3">
        <f>IFERROR((s_DL)/(Doses!N30*s_GSFb*s_Fin*s_Fi*s_Fam*s_Foff*Isospec!O31*s_ETres*(1/24)*s_EFres*(1/365)),".")</f>
        <v>37.018562293025902</v>
      </c>
      <c r="G32" s="5">
        <f>IFERROR((s_DL)/(Doses!O30*s_GSFb*s_Fin*s_Fi*s_Fam*s_Foff*Isospec!P31*s_ETres*(1/24)*s_EFres*(1/365)),".")</f>
        <v>46.810626818348425</v>
      </c>
      <c r="H32" s="2">
        <f t="shared" ref="H32" si="71">IFERROR(C32/s_1_bq,".")</f>
        <v>0.23544257076285754</v>
      </c>
      <c r="I32" s="3">
        <f t="shared" ref="I32" si="72">IFERROR(D32/s_1_bq,".")</f>
        <v>0.81361198685154079</v>
      </c>
      <c r="J32" s="3">
        <f t="shared" ref="J32" si="73">IFERROR(E32/s_1_bq,".")</f>
        <v>1.6670403763377935</v>
      </c>
      <c r="K32" s="3">
        <f t="shared" ref="K32" si="74">IFERROR(F32/s_1_bq,".")</f>
        <v>1.3696868048419597</v>
      </c>
      <c r="L32" s="5">
        <f t="shared" ref="L32" si="75">IFERROR(G32/s_1_bq,".")</f>
        <v>1.7319931922788934</v>
      </c>
      <c r="M32" s="2">
        <f>IFERROR(C32*Isospec!C31*Isospec!F31*s_SSLgram,".")</f>
        <v>2.0757126103471367E-8</v>
      </c>
      <c r="N32" s="3">
        <f>IFERROR(D32*Isospec!C31*Isospec!F31*s_SSLcm_m,".")</f>
        <v>7.1729791921884427E-11</v>
      </c>
      <c r="O32" s="3">
        <f>IFERROR(E32*Isospec!C31*Isospec!F31*s_SSLgram,".")</f>
        <v>1.4696988398956421E-7</v>
      </c>
      <c r="P32" s="3">
        <f>IFERROR(F32*Isospec!C31*Isospec!F31*s_SSLgram,".")</f>
        <v>1.2075455019985047E-7</v>
      </c>
      <c r="Q32" s="5">
        <f>IFERROR(G32*Isospec!C31*Isospec!F31*s_SSLgram,".")</f>
        <v>1.5269626468145255E-7</v>
      </c>
      <c r="R32" s="62">
        <f t="shared" ref="R32" si="76">IF(D32&lt;&gt;".",D32*2.22*100,".")</f>
        <v>4881.6719211092404</v>
      </c>
    </row>
    <row r="33" spans="1:18">
      <c r="A33" s="30" t="s">
        <v>14</v>
      </c>
      <c r="B33" s="30" t="s">
        <v>50</v>
      </c>
      <c r="C33" s="71">
        <f>IFERROR(1/SUM(1/C34,1/C35,1/C36,1/C37,1/C38,1/C39,1/C40,1/C41,1/C42,1/C43,1/C44,1/C45),0)</f>
        <v>0.72278425046070494</v>
      </c>
      <c r="D33" s="72">
        <f t="shared" ref="D33:G33" si="77">IFERROR(1/SUM(1/D34,1/D35,1/D36,1/D37,1/D38,1/D39,1/D40,1/D41,1/D42,1/D43,1/D44,1/D45),0)</f>
        <v>0.34714712575149465</v>
      </c>
      <c r="E33" s="72">
        <f t="shared" si="77"/>
        <v>0.47091717122545212</v>
      </c>
      <c r="F33" s="72">
        <f>IFERROR(1/SUM(1/F34,1/F35,1/F36,1/F37,1/F38,1/F39,1/F40,1/F41,1/F42,1/F43,1/F44,1/F45),0)</f>
        <v>0.45379368646882223</v>
      </c>
      <c r="G33" s="72">
        <f t="shared" si="77"/>
        <v>0.55637793885849496</v>
      </c>
      <c r="H33" s="71">
        <f>IFERROR(1/SUM(1/H34,1/H35,1/H36,1/H37,1/H38,1/H39,1/H40,1/H41,1/H42,1/H43,1/H44,1/H45),0)</f>
        <v>2.6743017267046101E-2</v>
      </c>
      <c r="I33" s="72">
        <f t="shared" ref="I33:L33" si="78">IFERROR(1/SUM(1/I34,1/I35,1/I36,1/I37,1/I38,1/I39,1/I40,1/I41,1/I42,1/I43,1/I44,1/I45),0)</f>
        <v>1.2844443652805316E-2</v>
      </c>
      <c r="J33" s="72">
        <f t="shared" si="78"/>
        <v>1.7423935335341745E-2</v>
      </c>
      <c r="K33" s="72">
        <f t="shared" si="78"/>
        <v>1.6790366399346446E-2</v>
      </c>
      <c r="L33" s="72">
        <f t="shared" si="78"/>
        <v>2.0585983737764334E-2</v>
      </c>
      <c r="M33" s="20">
        <f>IFERROR(C33*VLOOKUP("Am-241",Isospec!$A$3:$R$31,3)*VLOOKUP("Am-241",Isospec!$A$3:$R$31,6)*s_SSLgram,".")</f>
        <v>2.4386740610544184E-9</v>
      </c>
      <c r="N33" s="19">
        <f>IFERROR(D33*VLOOKUP("Am-241",Isospec!$A$3:$R$31,3)*VLOOKUP("Am-241",Isospec!$A$3:$R$31,6)*s_SSLcm_m,".")</f>
        <v>1.1712744022855429E-12</v>
      </c>
      <c r="O33" s="19">
        <f>IFERROR(E33*VLOOKUP("Am-241",Isospec!$A$3:$R$31,3)*VLOOKUP("Am-241",Isospec!$A$3:$R$31,6)*s_SSLgram,".")</f>
        <v>1.5888745357146753E-9</v>
      </c>
      <c r="P33" s="19">
        <f>IFERROR(F33*VLOOKUP("Am-241",Isospec!$A$3:$R$31,3)*VLOOKUP("Am-241",Isospec!$A$3:$R$31,6)*s_SSLgram,".")</f>
        <v>1.5310998981458062E-9</v>
      </c>
      <c r="Q33" s="21">
        <f>IFERROR(G33*VLOOKUP("Am-241",Isospec!$A$3:$R$31,3)*VLOOKUP("Am-241",Isospec!$A$3:$R$31,6)*s_SSLgram,".")</f>
        <v>1.8772191657085618E-9</v>
      </c>
      <c r="R33" s="89">
        <f t="shared" ref="R33:R63" si="79">IF(D33&lt;&gt;".",D33*2.22*100,".")</f>
        <v>77.066661916831819</v>
      </c>
    </row>
    <row r="34" spans="1:18">
      <c r="A34" s="31" t="s">
        <v>137</v>
      </c>
      <c r="B34" s="32">
        <v>1</v>
      </c>
      <c r="C34" s="65">
        <f>IFERROR(VLOOKUP("Am-241",$A$4:$L$32,3)/$B34,0)</f>
        <v>8.5008442566088025</v>
      </c>
      <c r="D34" s="66">
        <f>IFERROR(VLOOKUP("Am-241",$A$4:$L$32,4)/$B34,0)</f>
        <v>3.7445713783656518</v>
      </c>
      <c r="E34" s="66">
        <f>IFERROR(VLOOKUP("Am-241",$A$4:$L$32,5)/$B34,0)</f>
        <v>3.6355993222633889</v>
      </c>
      <c r="F34" s="66">
        <f>IFERROR(VLOOKUP("Am-241",$A$4:$L$32,6)/$B34,0)</f>
        <v>4.0348818918838365</v>
      </c>
      <c r="G34" s="66">
        <f>IFERROR(VLOOKUP("Am-241",$A$4:$L$32,7)/$B34,0)</f>
        <v>6.2899897094991069</v>
      </c>
      <c r="H34" s="65">
        <f>IFERROR(VLOOKUP("Am-241",$A$4:$L$32,8)/$B34,0)</f>
        <v>0.31453123749452599</v>
      </c>
      <c r="I34" s="66">
        <f>IFERROR(VLOOKUP("Am-241",$A$4:$L$32,9)/$B34,0)</f>
        <v>0.13854914099952925</v>
      </c>
      <c r="J34" s="66">
        <f>IFERROR(VLOOKUP("Am-241",$A$4:$L$32,10)/$B34,0)</f>
        <v>0.13451717492374551</v>
      </c>
      <c r="K34" s="66">
        <f>IFERROR(VLOOKUP("Am-241",$A$4:$L$32,11)/$B34,0)</f>
        <v>0.14929062999970211</v>
      </c>
      <c r="L34" s="66">
        <f>IFERROR(VLOOKUP("Am-241",$A$4:$L$32,12)/$B34,0)</f>
        <v>0.23272961925146718</v>
      </c>
      <c r="M34" s="65">
        <f>IFERROR(VLOOKUP("Am-241",$A$4:$R$32,13)/$B34,0)</f>
        <v>2.8681848521798093E-8</v>
      </c>
      <c r="N34" s="66">
        <f>IFERROR(VLOOKUP("Am-241",$A$4:$R$32,14)/$B34,0)</f>
        <v>1.2634183830605708E-11</v>
      </c>
      <c r="O34" s="66">
        <f>IFERROR(VLOOKUP("Am-241",$A$4:$R$32,15)/$B34,0)</f>
        <v>1.2266512113316673E-8</v>
      </c>
      <c r="P34" s="66">
        <f>IFERROR(VLOOKUP("Am-241",$A$4:$R$32,16)/$B34,0)</f>
        <v>1.3613691503216061E-8</v>
      </c>
      <c r="Q34" s="66">
        <f>IFERROR(VLOOKUP("Am-241",$A$4:$R$32,17)/$B34,0)</f>
        <v>2.1222425279849984E-8</v>
      </c>
      <c r="R34" s="90">
        <f t="shared" si="79"/>
        <v>831.29484599717478</v>
      </c>
    </row>
    <row r="35" spans="1:18">
      <c r="A35" s="31" t="s">
        <v>138</v>
      </c>
      <c r="B35" s="32">
        <v>1</v>
      </c>
      <c r="C35" s="65">
        <f>IFERROR(VLOOKUP("Np-237",$A$4:$L$32,3)/$B35,0)</f>
        <v>6.6718715261961634</v>
      </c>
      <c r="D35" s="66">
        <f>IFERROR(VLOOKUP("Np-237",$A$4:$L$32,4)/$B35,0)</f>
        <v>1.9815083675313372</v>
      </c>
      <c r="E35" s="66">
        <f>IFERROR(VLOOKUP("Np-237",$A$4:$L$32,5)/$B35,0)</f>
        <v>3.3923498818520801</v>
      </c>
      <c r="F35" s="66">
        <f>IFERROR(VLOOKUP("Np-237",$A$4:$L$32,6)/$B35,0)</f>
        <v>2.9959020639678378</v>
      </c>
      <c r="G35" s="66">
        <f>IFERROR(VLOOKUP("Np-237",$A$4:$L$32,7)/$B35,0)</f>
        <v>3.5323691159283297</v>
      </c>
      <c r="H35" s="65">
        <f>IFERROR(VLOOKUP("Np-237",$A$4:$L$32,8)/$B35,0)</f>
        <v>0.2468592464692583</v>
      </c>
      <c r="I35" s="66">
        <f>IFERROR(VLOOKUP("Np-237",$A$4:$L$32,9)/$B35,0)</f>
        <v>7.3315809598659548E-2</v>
      </c>
      <c r="J35" s="66">
        <f>IFERROR(VLOOKUP("Np-237",$A$4:$L$32,10)/$B35,0)</f>
        <v>0.12551694562852708</v>
      </c>
      <c r="K35" s="66">
        <f>IFERROR(VLOOKUP("Np-237",$A$4:$L$32,11)/$B35,0)</f>
        <v>0.11084837636681011</v>
      </c>
      <c r="L35" s="66">
        <f>IFERROR(VLOOKUP("Np-237",$A$4:$L$32,12)/$B35,0)</f>
        <v>0.13069765728934832</v>
      </c>
      <c r="M35" s="65">
        <f>IFERROR(VLOOKUP("Np-237",$A$4:$R$32,13)/$B35,0)</f>
        <v>2.213726972391887E-8</v>
      </c>
      <c r="N35" s="66">
        <f>IFERROR(VLOOKUP("Np-237",$A$4:$R$32,14)/$B35,0)</f>
        <v>6.5746447634689761E-12</v>
      </c>
      <c r="O35" s="66">
        <f>IFERROR(VLOOKUP("Np-237",$A$4:$R$32,15)/$B35,0)</f>
        <v>1.1255816907985201E-8</v>
      </c>
      <c r="P35" s="66">
        <f>IFERROR(VLOOKUP("Np-237",$A$4:$R$32,16)/$B35,0)</f>
        <v>9.9404030482452838E-9</v>
      </c>
      <c r="Q35" s="66">
        <f>IFERROR(VLOOKUP("Np-237",$A$4:$R$32,17)/$B35,0)</f>
        <v>1.1720400726650196E-8</v>
      </c>
      <c r="R35" s="90">
        <f t="shared" si="79"/>
        <v>439.89485759195691</v>
      </c>
    </row>
    <row r="36" spans="1:18">
      <c r="A36" s="31" t="s">
        <v>139</v>
      </c>
      <c r="B36" s="32">
        <v>1</v>
      </c>
      <c r="C36" s="65">
        <f>IFERROR(VLOOKUP("Pa-233",$A$4:$L$32,3)/$B36,0)</f>
        <v>2.8289824613776413</v>
      </c>
      <c r="D36" s="66">
        <f>IFERROR(VLOOKUP("Pa-233",$A$4:$L$32,4)/$B36,0)</f>
        <v>1.551213611615522</v>
      </c>
      <c r="E36" s="66">
        <f>IFERROR(VLOOKUP("Pa-233",$A$4:$L$32,5)/$B36,0)</f>
        <v>1.9078142716526487</v>
      </c>
      <c r="F36" s="66">
        <f>IFERROR(VLOOKUP("Pa-233",$A$4:$L$32,6)/$B36,0)</f>
        <v>1.765015031402499</v>
      </c>
      <c r="G36" s="66">
        <f>IFERROR(VLOOKUP("Pa-233",$A$4:$L$32,7)/$B36,0)</f>
        <v>2.2205747204176562</v>
      </c>
      <c r="H36" s="65">
        <f>IFERROR(VLOOKUP("Pa-233",$A$4:$L$32,8)/$B36,0)</f>
        <v>0.10467235107097284</v>
      </c>
      <c r="I36" s="66">
        <f>IFERROR(VLOOKUP("Pa-233",$A$4:$L$32,9)/$B36,0)</f>
        <v>5.7394903629774369E-2</v>
      </c>
      <c r="J36" s="66">
        <f>IFERROR(VLOOKUP("Pa-233",$A$4:$L$32,10)/$B36,0)</f>
        <v>7.0589128051148073E-2</v>
      </c>
      <c r="K36" s="66">
        <f>IFERROR(VLOOKUP("Pa-233",$A$4:$L$32,11)/$B36,0)</f>
        <v>6.5305556161892528E-2</v>
      </c>
      <c r="L36" s="66">
        <f>IFERROR(VLOOKUP("Pa-233",$A$4:$L$32,12)/$B36,0)</f>
        <v>8.216126465545337E-2</v>
      </c>
      <c r="M36" s="65">
        <f>IFERROR(VLOOKUP("Pa-233",$A$4:$R$32,13)/$B36,0)</f>
        <v>9.2281407890138654E-9</v>
      </c>
      <c r="N36" s="66">
        <f>IFERROR(VLOOKUP("Pa-233",$A$4:$R$32,14)/$B36,0)</f>
        <v>5.0600588010898329E-12</v>
      </c>
      <c r="O36" s="66">
        <f>IFERROR(VLOOKUP("Pa-233",$A$4:$R$32,15)/$B36,0)</f>
        <v>6.2232901541309395E-9</v>
      </c>
      <c r="P36" s="66">
        <f>IFERROR(VLOOKUP("Pa-233",$A$4:$R$32,16)/$B36,0)</f>
        <v>5.7574790324349516E-9</v>
      </c>
      <c r="Q36" s="66">
        <f>IFERROR(VLOOKUP("Pa-233",$A$4:$R$32,17)/$B36,0)</f>
        <v>7.2435147380023939E-9</v>
      </c>
      <c r="R36" s="90">
        <f t="shared" si="79"/>
        <v>344.36942177864591</v>
      </c>
    </row>
    <row r="37" spans="1:18">
      <c r="A37" s="31" t="s">
        <v>140</v>
      </c>
      <c r="B37" s="32">
        <v>1</v>
      </c>
      <c r="C37" s="65">
        <f>IFERROR(VLOOKUP("U-233",$A$4:$L$32,3)/$B37,0)</f>
        <v>6.363312723320468</v>
      </c>
      <c r="D37" s="66">
        <f>IFERROR(VLOOKUP("U-233",$A$4:$L$32,4)/$B37,0)</f>
        <v>21.98951315814973</v>
      </c>
      <c r="E37" s="66">
        <f>IFERROR(VLOOKUP("U-233",$A$4:$L$32,5)/$B37,0)</f>
        <v>45.055145306426802</v>
      </c>
      <c r="F37" s="66">
        <f>IFERROR(VLOOKUP("U-233",$A$4:$L$32,6)/$B37,0)</f>
        <v>37.018562293025902</v>
      </c>
      <c r="G37" s="66">
        <f>IFERROR(VLOOKUP("U-233",$A$4:$L$32,7)/$B37,0)</f>
        <v>46.810626818348425</v>
      </c>
      <c r="H37" s="65">
        <f>IFERROR(VLOOKUP("U-233",$A$4:$L$32,8)/$B37,0)</f>
        <v>0.23544257076285754</v>
      </c>
      <c r="I37" s="66">
        <f>IFERROR(VLOOKUP("U-233",$A$4:$L$32,9)/$B37,0)</f>
        <v>0.81361198685154079</v>
      </c>
      <c r="J37" s="66">
        <f>IFERROR(VLOOKUP("U-233",$A$4:$L$32,10)/$B37,0)</f>
        <v>1.6670403763377935</v>
      </c>
      <c r="K37" s="66">
        <f>IFERROR(VLOOKUP("U-233",$A$4:$L$32,11)/$B37,0)</f>
        <v>1.3696868048419597</v>
      </c>
      <c r="L37" s="66">
        <f>IFERROR(VLOOKUP("U-233",$A$4:$L$32,12)/$B37,0)</f>
        <v>1.7319931922788934</v>
      </c>
      <c r="M37" s="65">
        <f>IFERROR(VLOOKUP("U-233",$A$4:$R$32,13)/$B37,0)</f>
        <v>2.0757126103471367E-8</v>
      </c>
      <c r="N37" s="66">
        <f>IFERROR(VLOOKUP("U-233",$A$4:$R$32,14)/$B37,0)</f>
        <v>7.1729791921884427E-11</v>
      </c>
      <c r="O37" s="66">
        <f>IFERROR(VLOOKUP("U-233",$A$4:$R$32,15)/$B37,0)</f>
        <v>1.4696988398956421E-7</v>
      </c>
      <c r="P37" s="66">
        <f>IFERROR(VLOOKUP("U-233",$A$4:$R$32,16)/$B37,0)</f>
        <v>1.2075455019985047E-7</v>
      </c>
      <c r="Q37" s="66">
        <f>IFERROR(VLOOKUP("U-233",$A$4:$R$32,17)/$B37,0)</f>
        <v>1.5269626468145255E-7</v>
      </c>
      <c r="R37" s="90">
        <f t="shared" si="79"/>
        <v>4881.6719211092404</v>
      </c>
    </row>
    <row r="38" spans="1:18">
      <c r="A38" s="31" t="s">
        <v>141</v>
      </c>
      <c r="B38" s="32">
        <v>1</v>
      </c>
      <c r="C38" s="65">
        <f>IFERROR(VLOOKUP("Th-229",$A$4:$L$32,3)/$B38,0)</f>
        <v>5.9067729070037256</v>
      </c>
      <c r="D38" s="66">
        <f>IFERROR(VLOOKUP("Th-229",$A$4:$L$32,4)/$B38,0)</f>
        <v>1.140525531024605</v>
      </c>
      <c r="E38" s="66">
        <f>IFERROR(VLOOKUP("Th-229",$A$4:$L$32,5)/$B38,0)</f>
        <v>1.7130051714518695</v>
      </c>
      <c r="F38" s="66">
        <f>IFERROR(VLOOKUP("Th-229",$A$4:$L$32,6)/$B38,0)</f>
        <v>1.6986949257656536</v>
      </c>
      <c r="G38" s="66">
        <f>IFERROR(VLOOKUP("Th-229",$A$4:$L$32,7)/$B38,0)</f>
        <v>1.9898760048743716</v>
      </c>
      <c r="H38" s="65">
        <f>IFERROR(VLOOKUP("Th-229",$A$4:$L$32,8)/$B38,0)</f>
        <v>0.21855059755913805</v>
      </c>
      <c r="I38" s="66">
        <f>IFERROR(VLOOKUP("Th-229",$A$4:$L$32,9)/$B38,0)</f>
        <v>4.2199444647910429E-2</v>
      </c>
      <c r="J38" s="66">
        <f>IFERROR(VLOOKUP("Th-229",$A$4:$L$32,10)/$B38,0)</f>
        <v>6.3381191343719237E-2</v>
      </c>
      <c r="K38" s="66">
        <f>IFERROR(VLOOKUP("Th-229",$A$4:$L$32,11)/$B38,0)</f>
        <v>6.285171225332925E-2</v>
      </c>
      <c r="L38" s="66">
        <f>IFERROR(VLOOKUP("Th-229",$A$4:$L$32,12)/$B38,0)</f>
        <v>7.3625412180351818E-2</v>
      </c>
      <c r="M38" s="65">
        <f>IFERROR(VLOOKUP("Th-229",$A$4:$R$32,13)/$B38,0)</f>
        <v>1.8937113939853943E-8</v>
      </c>
      <c r="N38" s="66">
        <f>IFERROR(VLOOKUP("Th-229",$A$4:$R$32,14)/$B38,0)</f>
        <v>3.6565248524648842E-12</v>
      </c>
      <c r="O38" s="66">
        <f>IFERROR(VLOOKUP("Th-229",$A$4:$R$32,15)/$B38,0)</f>
        <v>5.4918945796746925E-9</v>
      </c>
      <c r="P38" s="66">
        <f>IFERROR(VLOOKUP("Th-229",$A$4:$R$32,16)/$B38,0)</f>
        <v>5.4460159320046855E-9</v>
      </c>
      <c r="Q38" s="66">
        <f>IFERROR(VLOOKUP("Th-229",$A$4:$R$32,17)/$B38,0)</f>
        <v>6.3795424716272348E-9</v>
      </c>
      <c r="R38" s="90">
        <f t="shared" si="79"/>
        <v>253.19666788746233</v>
      </c>
    </row>
    <row r="39" spans="1:18">
      <c r="A39" s="31" t="s">
        <v>142</v>
      </c>
      <c r="B39" s="32">
        <v>1</v>
      </c>
      <c r="C39" s="65">
        <f>IFERROR(VLOOKUP("Ra-225",$A$4:$L$32,3)/$B39,0)</f>
        <v>4.8168791264894208</v>
      </c>
      <c r="D39" s="66">
        <f>IFERROR(VLOOKUP("Ra-225",$A$4:$L$32,4)/$B39,0)</f>
        <v>5.4119816675032073</v>
      </c>
      <c r="E39" s="66">
        <f>IFERROR(VLOOKUP("Ra-225",$A$4:$L$32,5)/$B39,0)</f>
        <v>8.5911847846932758</v>
      </c>
      <c r="F39" s="66">
        <f>IFERROR(VLOOKUP("Ra-225",$A$4:$L$32,6)/$B39,0)</f>
        <v>8.1431138406299493</v>
      </c>
      <c r="G39" s="66">
        <f>IFERROR(VLOOKUP("Ra-225",$A$4:$L$32,7)/$B39,0)</f>
        <v>8.9773778328692799</v>
      </c>
      <c r="H39" s="65">
        <f>IFERROR(VLOOKUP("Ra-225",$A$4:$L$32,8)/$B39,0)</f>
        <v>0.17822452768010874</v>
      </c>
      <c r="I39" s="66">
        <f>IFERROR(VLOOKUP("Ra-225",$A$4:$L$32,9)/$B39,0)</f>
        <v>0.20024332169761888</v>
      </c>
      <c r="J39" s="66">
        <f>IFERROR(VLOOKUP("Ra-225",$A$4:$L$32,10)/$B39,0)</f>
        <v>0.31787383703365152</v>
      </c>
      <c r="K39" s="66">
        <f>IFERROR(VLOOKUP("Ra-225",$A$4:$L$32,11)/$B39,0)</f>
        <v>0.30129521210330845</v>
      </c>
      <c r="L39" s="66">
        <f>IFERROR(VLOOKUP("Ra-225",$A$4:$L$32,12)/$B39,0)</f>
        <v>0.33216297981616372</v>
      </c>
      <c r="M39" s="65">
        <f>IFERROR(VLOOKUP("Ra-225",$A$4:$R$32,13)/$B39,0)</f>
        <v>1.5173169248441676E-8</v>
      </c>
      <c r="N39" s="66">
        <f>IFERROR(VLOOKUP("Ra-225",$A$4:$R$32,14)/$B39,0)</f>
        <v>1.7047742252635102E-11</v>
      </c>
      <c r="O39" s="66">
        <f>IFERROR(VLOOKUP("Ra-225",$A$4:$R$32,15)/$B39,0)</f>
        <v>2.7062232071783818E-8</v>
      </c>
      <c r="P39" s="66">
        <f>IFERROR(VLOOKUP("Ra-225",$A$4:$R$32,16)/$B39,0)</f>
        <v>2.5650808597984341E-8</v>
      </c>
      <c r="Q39" s="66">
        <f>IFERROR(VLOOKUP("Ra-225",$A$4:$R$32,17)/$B39,0)</f>
        <v>2.8278740173538229E-8</v>
      </c>
      <c r="R39" s="90">
        <f t="shared" si="79"/>
        <v>1201.4599301857122</v>
      </c>
    </row>
    <row r="40" spans="1:18">
      <c r="A40" s="31" t="s">
        <v>143</v>
      </c>
      <c r="B40" s="32">
        <v>1</v>
      </c>
      <c r="C40" s="65">
        <f>IFERROR(VLOOKUP("Ac-225",$A$4:$L$32,3)/$B40,0)</f>
        <v>16.616801267957438</v>
      </c>
      <c r="D40" s="66">
        <f>IFERROR(VLOOKUP("Ac-225",$A$4:$L$32,4)/$B40,0)</f>
        <v>5.2719305462904957</v>
      </c>
      <c r="E40" s="66">
        <f>IFERROR(VLOOKUP("Ac-225",$A$4:$L$32,5)/$B40,0)</f>
        <v>8.7629080586280299</v>
      </c>
      <c r="F40" s="66">
        <f>IFERROR(VLOOKUP("Ac-225",$A$4:$L$32,6)/$B40,0)</f>
        <v>8.3650245008028037</v>
      </c>
      <c r="G40" s="66">
        <f>IFERROR(VLOOKUP("Ac-225",$A$4:$L$32,7)/$B40,0)</f>
        <v>9.9040659912175801</v>
      </c>
      <c r="H40" s="65">
        <f>IFERROR(VLOOKUP("Ac-225",$A$4:$L$32,8)/$B40,0)</f>
        <v>0.61482164691442587</v>
      </c>
      <c r="I40" s="66">
        <f>IFERROR(VLOOKUP("Ac-225",$A$4:$L$32,9)/$B40,0)</f>
        <v>0.19506143021274855</v>
      </c>
      <c r="J40" s="66">
        <f>IFERROR(VLOOKUP("Ac-225",$A$4:$L$32,10)/$B40,0)</f>
        <v>0.32422759816923741</v>
      </c>
      <c r="K40" s="66">
        <f>IFERROR(VLOOKUP("Ac-225",$A$4:$L$32,11)/$B40,0)</f>
        <v>0.30950590652970406</v>
      </c>
      <c r="L40" s="66">
        <f>IFERROR(VLOOKUP("Ac-225",$A$4:$L$32,12)/$B40,0)</f>
        <v>0.36645044167505081</v>
      </c>
      <c r="M40" s="65">
        <f>IFERROR(VLOOKUP("Ac-225",$A$4:$R$32,13)/$B40,0)</f>
        <v>5.2342923994065922E-8</v>
      </c>
      <c r="N40" s="66">
        <f>IFERROR(VLOOKUP("Ac-225",$A$4:$R$32,14)/$B40,0)</f>
        <v>1.6606581220815062E-11</v>
      </c>
      <c r="O40" s="66">
        <f>IFERROR(VLOOKUP("Ac-225",$A$4:$R$32,15)/$B40,0)</f>
        <v>2.760316038467829E-8</v>
      </c>
      <c r="P40" s="66">
        <f>IFERROR(VLOOKUP("Ac-225",$A$4:$R$32,16)/$B40,0)</f>
        <v>2.6349827177528834E-8</v>
      </c>
      <c r="Q40" s="66">
        <f>IFERROR(VLOOKUP("Ac-225",$A$4:$R$32,17)/$B40,0)</f>
        <v>3.119780787233537E-8</v>
      </c>
      <c r="R40" s="90">
        <f t="shared" si="79"/>
        <v>1170.36858127649</v>
      </c>
    </row>
    <row r="41" spans="1:18">
      <c r="A41" s="31" t="s">
        <v>144</v>
      </c>
      <c r="B41" s="32">
        <v>1</v>
      </c>
      <c r="C41" s="65">
        <f>IFERROR(VLOOKUP("Fr-221",$A$4:$L$32,3)/$B41,0)</f>
        <v>22.108469774340534</v>
      </c>
      <c r="D41" s="66">
        <f>IFERROR(VLOOKUP("Fr-221",$A$4:$L$32,4)/$B41,0)</f>
        <v>16.940267291331768</v>
      </c>
      <c r="E41" s="66">
        <f>IFERROR(VLOOKUP("Fr-221",$A$4:$L$32,5)/$B41,0)</f>
        <v>15.516220183024295</v>
      </c>
      <c r="F41" s="66">
        <f>IFERROR(VLOOKUP("Fr-221",$A$4:$L$32,6)/$B41,0)</f>
        <v>16.676009893437307</v>
      </c>
      <c r="G41" s="66">
        <f>IFERROR(VLOOKUP("Fr-221",$A$4:$L$32,7)/$B41,0)</f>
        <v>20.326597659980525</v>
      </c>
      <c r="H41" s="65">
        <f>IFERROR(VLOOKUP("Fr-221",$A$4:$L$32,8)/$B41,0)</f>
        <v>0.81801338165060056</v>
      </c>
      <c r="I41" s="66">
        <f>IFERROR(VLOOKUP("Fr-221",$A$4:$L$32,9)/$B41,0)</f>
        <v>0.62678988977927608</v>
      </c>
      <c r="J41" s="66">
        <f>IFERROR(VLOOKUP("Fr-221",$A$4:$L$32,10)/$B41,0)</f>
        <v>0.57410014677189947</v>
      </c>
      <c r="K41" s="66">
        <f>IFERROR(VLOOKUP("Fr-221",$A$4:$L$32,11)/$B41,0)</f>
        <v>0.61701236605718102</v>
      </c>
      <c r="L41" s="66">
        <f>IFERROR(VLOOKUP("Fr-221",$A$4:$L$32,12)/$B41,0)</f>
        <v>0.75208411341928016</v>
      </c>
      <c r="M41" s="65">
        <f>IFERROR(VLOOKUP("Fr-221",$A$4:$R$32,13)/$B41,0)</f>
        <v>6.8403605481809617E-8</v>
      </c>
      <c r="N41" s="66">
        <f>IFERROR(VLOOKUP("Fr-221",$A$4:$R$32,14)/$B41,0)</f>
        <v>5.2413186999380488E-11</v>
      </c>
      <c r="O41" s="66">
        <f>IFERROR(VLOOKUP("Fr-221",$A$4:$R$32,15)/$B41,0)</f>
        <v>4.8007185246277169E-8</v>
      </c>
      <c r="P41" s="66">
        <f>IFERROR(VLOOKUP("Fr-221",$A$4:$R$32,16)/$B41,0)</f>
        <v>5.1595574610295025E-8</v>
      </c>
      <c r="Q41" s="66">
        <f>IFERROR(VLOOKUP("Fr-221",$A$4:$R$32,17)/$B41,0)</f>
        <v>6.2890493159979739E-8</v>
      </c>
      <c r="R41" s="90">
        <f t="shared" si="79"/>
        <v>3760.7393386756526</v>
      </c>
    </row>
    <row r="42" spans="1:18">
      <c r="A42" s="31" t="s">
        <v>145</v>
      </c>
      <c r="B42" s="32">
        <v>1</v>
      </c>
      <c r="C42" s="65">
        <f>IFERROR(VLOOKUP("At-217",$A$4:$L$32,3)/$B42,0)</f>
        <v>3138.5068307265383</v>
      </c>
      <c r="D42" s="66">
        <f>IFERROR(VLOOKUP("At-217",$A$4:$L$32,4)/$B42,0)</f>
        <v>2683.9074597879744</v>
      </c>
      <c r="E42" s="66">
        <f>IFERROR(VLOOKUP("At-217",$A$4:$L$32,5)/$B42,0)</f>
        <v>2538.77719819499</v>
      </c>
      <c r="F42" s="66">
        <f>IFERROR(VLOOKUP("At-217",$A$4:$L$32,6)/$B42,0)</f>
        <v>2661.2527579789758</v>
      </c>
      <c r="G42" s="66">
        <f>IFERROR(VLOOKUP("At-217",$A$4:$L$32,7)/$B42,0)</f>
        <v>2970.1463681724081</v>
      </c>
      <c r="H42" s="65">
        <f>IFERROR(VLOOKUP("At-217",$A$4:$L$32,8)/$B42,0)</f>
        <v>116.12475273688203</v>
      </c>
      <c r="I42" s="66">
        <f>IFERROR(VLOOKUP("At-217",$A$4:$L$32,9)/$B42,0)</f>
        <v>99.304576012155152</v>
      </c>
      <c r="J42" s="66">
        <f>IFERROR(VLOOKUP("At-217",$A$4:$L$32,10)/$B42,0)</f>
        <v>93.934756333214722</v>
      </c>
      <c r="K42" s="66">
        <f>IFERROR(VLOOKUP("At-217",$A$4:$L$32,11)/$B42,0)</f>
        <v>98.466352045222209</v>
      </c>
      <c r="L42" s="66">
        <f>IFERROR(VLOOKUP("At-217",$A$4:$L$32,12)/$B42,0)</f>
        <v>109.8954156223792</v>
      </c>
      <c r="M42" s="65">
        <f>IFERROR(VLOOKUP("At-217",$A$4:$R$32,13)/$B42,0)</f>
        <v>9.5347837517472234E-6</v>
      </c>
      <c r="N42" s="66">
        <f>IFERROR(VLOOKUP("At-217",$A$4:$R$32,14)/$B42,0)</f>
        <v>8.1537108628358655E-9</v>
      </c>
      <c r="O42" s="66">
        <f>IFERROR(VLOOKUP("At-217",$A$4:$R$32,15)/$B42,0)</f>
        <v>7.7128051281163798E-6</v>
      </c>
      <c r="P42" s="66">
        <f>IFERROR(VLOOKUP("At-217",$A$4:$R$32,16)/$B42,0)</f>
        <v>8.0848858787401265E-6</v>
      </c>
      <c r="Q42" s="66">
        <f>IFERROR(VLOOKUP("At-217",$A$4:$R$32,17)/$B42,0)</f>
        <v>9.0233046665077745E-6</v>
      </c>
      <c r="R42" s="90">
        <f t="shared" si="79"/>
        <v>595827.45607293036</v>
      </c>
    </row>
    <row r="43" spans="1:18">
      <c r="A43" s="31" t="s">
        <v>146</v>
      </c>
      <c r="B43" s="33">
        <v>0.99987999999999999</v>
      </c>
      <c r="C43" s="65">
        <f>IFERROR(VLOOKUP("Bi-213",$A$4:$L$32,3)/$B43,0)</f>
        <v>9.6145911232215209</v>
      </c>
      <c r="D43" s="66">
        <f>IFERROR(VLOOKUP("Bi-213",$A$4:$L$32,4)/$B43,0)</f>
        <v>11.032592054361642</v>
      </c>
      <c r="E43" s="66">
        <f>IFERROR(VLOOKUP("Bi-213",$A$4:$L$32,5)/$B43,0)</f>
        <v>9.3624078037715872</v>
      </c>
      <c r="F43" s="66">
        <f>IFERROR(VLOOKUP("Bi-213",$A$4:$L$32,6)/$B43,0)</f>
        <v>8.6538987192922399</v>
      </c>
      <c r="G43" s="66">
        <f>IFERROR(VLOOKUP("Bi-213",$A$4:$L$32,7)/$B43,0)</f>
        <v>9.9432736452823391</v>
      </c>
      <c r="H43" s="65">
        <f>IFERROR(VLOOKUP("Bi-213",$A$4:$L$32,8)/$B43,0)</f>
        <v>0.35573987155919667</v>
      </c>
      <c r="I43" s="66">
        <f>IFERROR(VLOOKUP("Bi-213",$A$4:$L$32,9)/$B43,0)</f>
        <v>0.40820590601138118</v>
      </c>
      <c r="J43" s="66">
        <f>IFERROR(VLOOKUP("Bi-213",$A$4:$L$32,10)/$B43,0)</f>
        <v>0.34640908873954906</v>
      </c>
      <c r="K43" s="66">
        <f>IFERROR(VLOOKUP("Bi-213",$A$4:$L$32,11)/$B43,0)</f>
        <v>0.32019425261381318</v>
      </c>
      <c r="L43" s="66">
        <f>IFERROR(VLOOKUP("Bi-213",$A$4:$L$32,12)/$B43,0)</f>
        <v>0.36790112487544691</v>
      </c>
      <c r="M43" s="65">
        <f>IFERROR(VLOOKUP("Bi-213",$A$4:$R$32,13)/$B43,0)</f>
        <v>2.8670710729446572E-8</v>
      </c>
      <c r="N43" s="66">
        <f>IFERROR(VLOOKUP("Bi-213",$A$4:$R$32,14)/$B43,0)</f>
        <v>3.289918950610642E-11</v>
      </c>
      <c r="O43" s="66">
        <f>IFERROR(VLOOKUP("Bi-213",$A$4:$R$32,15)/$B43,0)</f>
        <v>2.7918700070846872E-8</v>
      </c>
      <c r="P43" s="66">
        <f>IFERROR(VLOOKUP("Bi-213",$A$4:$R$32,16)/$B43,0)</f>
        <v>2.5805925980929456E-8</v>
      </c>
      <c r="Q43" s="66">
        <f>IFERROR(VLOOKUP("Bi-213",$A$4:$R$32,17)/$B43,0)</f>
        <v>2.9650842010231938E-8</v>
      </c>
      <c r="R43" s="90">
        <f t="shared" si="79"/>
        <v>2449.2354360682848</v>
      </c>
    </row>
    <row r="44" spans="1:18">
      <c r="A44" s="31" t="s">
        <v>147</v>
      </c>
      <c r="B44" s="32">
        <v>0.97898250799999997</v>
      </c>
      <c r="C44" s="65">
        <f>IFERROR(VLOOKUP("Po-213",$A$4:$L$32,3)/$B44,0)</f>
        <v>56671.618730560214</v>
      </c>
      <c r="D44" s="66">
        <f>IFERROR(VLOOKUP("Po-213",$A$4:$L$32,4)/$B44,0)</f>
        <v>87570.391367922042</v>
      </c>
      <c r="E44" s="66">
        <f>IFERROR(VLOOKUP("Po-213",$A$4:$L$32,5)/$B44,0)</f>
        <v>64286.210189733341</v>
      </c>
      <c r="F44" s="66">
        <f>IFERROR(VLOOKUP("Po-213",$A$4:$L$32,6)/$B44,0)</f>
        <v>62678.195856316444</v>
      </c>
      <c r="G44" s="66">
        <f>IFERROR(VLOOKUP("Po-213",$A$4:$L$32,7)/$B44,0)</f>
        <v>72828.702651468469</v>
      </c>
      <c r="H44" s="65">
        <f>IFERROR(VLOOKUP("Po-213",$A$4:$L$32,8)/$B44,0)</f>
        <v>2096.8498930307301</v>
      </c>
      <c r="I44" s="66">
        <f>IFERROR(VLOOKUP("Po-213",$A$4:$L$32,9)/$B44,0)</f>
        <v>3240.104480613119</v>
      </c>
      <c r="J44" s="66">
        <f>IFERROR(VLOOKUP("Po-213",$A$4:$L$32,10)/$B44,0)</f>
        <v>2378.5897770201359</v>
      </c>
      <c r="K44" s="66">
        <f>IFERROR(VLOOKUP("Po-213",$A$4:$L$32,11)/$B44,0)</f>
        <v>2319.0932466837107</v>
      </c>
      <c r="L44" s="66">
        <f>IFERROR(VLOOKUP("Po-213",$A$4:$L$32,12)/$B44,0)</f>
        <v>2694.6619981043359</v>
      </c>
      <c r="M44" s="65">
        <f>IFERROR(VLOOKUP("Po-213",$A$4:$R$32,13)/$B44,0)</f>
        <v>1.6899476705453054E-4</v>
      </c>
      <c r="N44" s="66">
        <f>IFERROR(VLOOKUP("Po-213",$A$4:$R$32,14)/$B44,0)</f>
        <v>2.6113490705914357E-7</v>
      </c>
      <c r="O44" s="66">
        <f>IFERROR(VLOOKUP("Po-213",$A$4:$R$32,15)/$B44,0)</f>
        <v>1.9170147878578482E-4</v>
      </c>
      <c r="P44" s="66">
        <f>IFERROR(VLOOKUP("Po-213",$A$4:$R$32,16)/$B44,0)</f>
        <v>1.8690638004353563E-4</v>
      </c>
      <c r="Q44" s="66">
        <f>IFERROR(VLOOKUP("Po-213",$A$4:$R$32,17)/$B44,0)</f>
        <v>2.1717519130667892E-4</v>
      </c>
      <c r="R44" s="90">
        <f t="shared" si="79"/>
        <v>19440626.883678693</v>
      </c>
    </row>
    <row r="45" spans="1:18">
      <c r="A45" s="31" t="s">
        <v>148</v>
      </c>
      <c r="B45" s="32">
        <v>2.0897492E-2</v>
      </c>
      <c r="C45" s="65">
        <f>IFERROR(VLOOKUP("Tl-209",$A$4:$L$32,3)/$B45,0)</f>
        <v>53.394241449403566</v>
      </c>
      <c r="D45" s="66">
        <f>IFERROR(VLOOKUP("Tl-209",$A$4:$L$32,4)/$B45,0)</f>
        <v>57.248755178269434</v>
      </c>
      <c r="E45" s="66">
        <f>IFERROR(VLOOKUP("Tl-209",$A$4:$L$32,5)/$B45,0)</f>
        <v>46.797883980309706</v>
      </c>
      <c r="F45" s="66">
        <f>IFERROR(VLOOKUP("Tl-209",$A$4:$L$32,6)/$B45,0)</f>
        <v>46.539799294499339</v>
      </c>
      <c r="G45" s="66">
        <f>IFERROR(VLOOKUP("Tl-209",$A$4:$L$32,7)/$B45,0)</f>
        <v>53.929182640395922</v>
      </c>
      <c r="H45" s="65">
        <f>IFERROR(VLOOKUP("Tl-209",$A$4:$L$32,8)/$B45,0)</f>
        <v>1.9755869336279337</v>
      </c>
      <c r="I45" s="66">
        <f>IFERROR(VLOOKUP("Tl-209",$A$4:$L$32,9)/$B45,0)</f>
        <v>2.1182039415959713</v>
      </c>
      <c r="J45" s="66">
        <f>IFERROR(VLOOKUP("Tl-209",$A$4:$L$32,10)/$B45,0)</f>
        <v>1.7315217072714608</v>
      </c>
      <c r="K45" s="66">
        <f>IFERROR(VLOOKUP("Tl-209",$A$4:$L$32,11)/$B45,0)</f>
        <v>1.7219725738964775</v>
      </c>
      <c r="L45" s="66">
        <f>IFERROR(VLOOKUP("Tl-209",$A$4:$L$32,12)/$B45,0)</f>
        <v>1.9953797576946513</v>
      </c>
      <c r="M45" s="65">
        <f>IFERROR(VLOOKUP("Tl-209",$A$4:$R$32,13)/$B45,0)</f>
        <v>1.5623155048095481E-7</v>
      </c>
      <c r="N45" s="66">
        <f>IFERROR(VLOOKUP("Tl-209",$A$4:$R$32,14)/$B45,0)</f>
        <v>1.675098576516164E-10</v>
      </c>
      <c r="O45" s="66">
        <f>IFERROR(VLOOKUP("Tl-209",$A$4:$R$32,15)/$B45,0)</f>
        <v>1.3693060852638617E-7</v>
      </c>
      <c r="P45" s="66">
        <f>IFERROR(VLOOKUP("Tl-209",$A$4:$R$32,16)/$B45,0)</f>
        <v>1.3617545273570506E-7</v>
      </c>
      <c r="Q45" s="66">
        <f>IFERROR(VLOOKUP("Tl-209",$A$4:$R$32,17)/$B45,0)</f>
        <v>1.5779678840579844E-7</v>
      </c>
      <c r="R45" s="90">
        <f t="shared" si="79"/>
        <v>12709.223649575815</v>
      </c>
    </row>
    <row r="46" spans="1:18">
      <c r="A46" s="31" t="s">
        <v>149</v>
      </c>
      <c r="B46" s="32">
        <v>0.99987999999999999</v>
      </c>
      <c r="C46" s="65">
        <f>IFERROR(VLOOKUP("Pb-209",$A$4:$L$32,3)/$B46,0)</f>
        <v>0</v>
      </c>
      <c r="D46" s="66">
        <f>IFERROR(VLOOKUP("Pb-209",$A$4:$L$32,4)/$B46,0)</f>
        <v>0</v>
      </c>
      <c r="E46" s="66">
        <f>IFERROR(VLOOKUP("Pb-209",$A$4:$L$32,5)/$B46,0)</f>
        <v>0</v>
      </c>
      <c r="F46" s="66">
        <f>IFERROR(VLOOKUP("Pb-209",$A$4:$L$32,6)/$B46,0)</f>
        <v>0</v>
      </c>
      <c r="G46" s="66">
        <f>IFERROR(VLOOKUP("Pb-209",$A$4:$L$32,7)/$B46,0)</f>
        <v>0</v>
      </c>
      <c r="H46" s="65">
        <f>IFERROR(VLOOKUP("Pb-209",$A$4:$L$32,8)/$B46,0)</f>
        <v>0</v>
      </c>
      <c r="I46" s="66">
        <f>IFERROR(VLOOKUP("Pb-209",$A$4:$L$32,9)/$B46,0)</f>
        <v>0</v>
      </c>
      <c r="J46" s="66">
        <f>IFERROR(VLOOKUP("Pb-209",$A$4:$L$32,10)/$B46,0)</f>
        <v>0</v>
      </c>
      <c r="K46" s="66">
        <f>IFERROR(VLOOKUP("Pb-209",$A$4:$L$32,11)/$B46,0)</f>
        <v>0</v>
      </c>
      <c r="L46" s="66">
        <f>IFERROR(VLOOKUP("Pb-209",$A$4:$L$32,12)/$B46,0)</f>
        <v>0</v>
      </c>
      <c r="M46" s="65">
        <f>IFERROR(VLOOKUP("Pb-209",$A$4:$R$32,13)/$B46,0)</f>
        <v>0</v>
      </c>
      <c r="N46" s="66">
        <f>IFERROR(VLOOKUP("Pb-209",$A$4:$R$32,14)/$B46,0)</f>
        <v>0</v>
      </c>
      <c r="O46" s="66">
        <f>IFERROR(VLOOKUP("Pb-209",$A$4:$R$32,15)/$B46,0)</f>
        <v>0</v>
      </c>
      <c r="P46" s="66">
        <f>IFERROR(VLOOKUP("Pb-209",$A$4:$R$32,16)/$B46,0)</f>
        <v>0</v>
      </c>
      <c r="Q46" s="66">
        <f>IFERROR(VLOOKUP("Pb-209",$A$4:$R$32,17)/$B46,0)</f>
        <v>0</v>
      </c>
      <c r="R46" s="90">
        <f t="shared" si="79"/>
        <v>0</v>
      </c>
    </row>
    <row r="47" spans="1:18">
      <c r="A47" s="30" t="s">
        <v>17</v>
      </c>
      <c r="B47" s="30" t="s">
        <v>50</v>
      </c>
      <c r="C47" s="71">
        <f>IFERROR(1/SUM(1/C48,1/C49),0)</f>
        <v>3.350461819032561</v>
      </c>
      <c r="D47" s="72">
        <f t="shared" ref="D47:G47" si="80">IFERROR(1/SUM(1/D48,1/D49),0)</f>
        <v>1.9952620195817643</v>
      </c>
      <c r="E47" s="72">
        <f t="shared" si="80"/>
        <v>1.5544353695968247</v>
      </c>
      <c r="F47" s="72">
        <f t="shared" si="80"/>
        <v>1.5388880457379257</v>
      </c>
      <c r="G47" s="72">
        <f t="shared" si="80"/>
        <v>1.4084565250380621</v>
      </c>
      <c r="H47" s="71">
        <f>IFERROR(1/SUM(1/H48,1/H49),0)</f>
        <v>0.12396708730420486</v>
      </c>
      <c r="I47" s="72">
        <f t="shared" ref="I47:L47" si="81">IFERROR(1/SUM(1/I48,1/I49),0)</f>
        <v>7.3824694724525367E-2</v>
      </c>
      <c r="J47" s="72">
        <f t="shared" si="81"/>
        <v>5.7514108675082568E-2</v>
      </c>
      <c r="K47" s="72">
        <f t="shared" si="81"/>
        <v>5.6938857692303321E-2</v>
      </c>
      <c r="L47" s="72">
        <f t="shared" si="81"/>
        <v>5.2112891426408348E-2</v>
      </c>
      <c r="M47" s="20">
        <f>IFERROR(C47*VLOOKUP("Cs-137",Isospec!$A$3:$R$31,3)*VLOOKUP("Cs-137",Isospec!$A$3:$R$31,6)*s_SSLgram,".")</f>
        <v>6.4261857689044515E-9</v>
      </c>
      <c r="N47" s="19">
        <f>IFERROR(D47*VLOOKUP("Cs-137",Isospec!$A$3:$R$31,3)*VLOOKUP("Cs-137",Isospec!$A$3:$R$31,6)*s_SSLcm_m,".")</f>
        <v>3.8269125535578243E-12</v>
      </c>
      <c r="O47" s="19">
        <f>IFERROR(E47*VLOOKUP("Cs-137",Isospec!$A$3:$R$31,3)*VLOOKUP("Cs-137",Isospec!$A$3:$R$31,6)*s_SSLgram,".")</f>
        <v>2.98140703888671E-9</v>
      </c>
      <c r="P47" s="19">
        <f>IFERROR(F47*VLOOKUP("Cs-137",Isospec!$A$3:$R$31,3)*VLOOKUP("Cs-137",Isospec!$A$3:$R$31,6)*s_SSLgram,".")</f>
        <v>2.9515872717253414E-9</v>
      </c>
      <c r="Q47" s="21">
        <f>IFERROR(G47*VLOOKUP("Cs-137",Isospec!$A$3:$R$31,3)*VLOOKUP("Cs-137",Isospec!$A$3:$R$31,6)*s_SSLgram,".")</f>
        <v>2.7014196150230027E-9</v>
      </c>
      <c r="R47" s="89">
        <f t="shared" si="79"/>
        <v>442.94816834715169</v>
      </c>
    </row>
    <row r="48" spans="1:18">
      <c r="A48" s="31" t="s">
        <v>150</v>
      </c>
      <c r="B48" s="32">
        <v>1</v>
      </c>
      <c r="C48" s="65">
        <f>IFERROR(VLOOKUP("Cs-137",$A$4:$L$32,3)/$B48,0)</f>
        <v>508109.06145558867</v>
      </c>
      <c r="D48" s="66">
        <f>IFERROR(VLOOKUP("Cs-137",$A$4:$L$32,4)/$B48,0)</f>
        <v>3.5387341840729549</v>
      </c>
      <c r="E48" s="66">
        <f>IFERROR(VLOOKUP("Cs-137",$A$4:$L$32,5)/$B48,0)</f>
        <v>2.8052469069794768</v>
      </c>
      <c r="F48" s="66">
        <f>IFERROR(VLOOKUP("Cs-137",$A$4:$L$32,6)/$B48,0)</f>
        <v>2.9365475386764426</v>
      </c>
      <c r="G48" s="66">
        <f>IFERROR(VLOOKUP("Cs-137",$A$4:$L$32,7)/$B48,0)</f>
        <v>2.1564607014370925</v>
      </c>
      <c r="H48" s="65">
        <f>IFERROR(VLOOKUP("Cs-137",$A$4:$L$32,8)/$B48,0)</f>
        <v>18800.0352738568</v>
      </c>
      <c r="I48" s="66">
        <f>IFERROR(VLOOKUP("Cs-137",$A$4:$L$32,9)/$B48,0)</f>
        <v>0.13093316481069947</v>
      </c>
      <c r="J48" s="66">
        <f>IFERROR(VLOOKUP("Cs-137",$A$4:$L$32,10)/$B48,0)</f>
        <v>0.10379413555824074</v>
      </c>
      <c r="K48" s="66">
        <f>IFERROR(VLOOKUP("Cs-137",$A$4:$L$32,11)/$B48,0)</f>
        <v>0.10865225893102849</v>
      </c>
      <c r="L48" s="66">
        <f>IFERROR(VLOOKUP("Cs-137",$A$4:$L$32,12)/$B48,0)</f>
        <v>7.9789045953172502E-2</v>
      </c>
      <c r="M48" s="65">
        <f>IFERROR(VLOOKUP("Cs-137",$A$4:$R$32,13)/$B48,0)</f>
        <v>9.7455317987181901E-4</v>
      </c>
      <c r="N48" s="66">
        <f>IFERROR(VLOOKUP("Cs-137",$A$4:$R$32,14)/$B48,0)</f>
        <v>6.7872921650519276E-12</v>
      </c>
      <c r="O48" s="66">
        <f>IFERROR(VLOOKUP("Cs-137",$A$4:$R$32,15)/$B48,0)</f>
        <v>5.3804635675866363E-9</v>
      </c>
      <c r="P48" s="66">
        <f>IFERROR(VLOOKUP("Cs-137",$A$4:$R$32,16)/$B48,0)</f>
        <v>5.6322981791814169E-9</v>
      </c>
      <c r="Q48" s="66">
        <f>IFERROR(VLOOKUP("Cs-137",$A$4:$R$32,17)/$B48,0)</f>
        <v>4.1360916253563432E-9</v>
      </c>
      <c r="R48" s="90">
        <f t="shared" si="79"/>
        <v>785.59898886419614</v>
      </c>
    </row>
    <row r="49" spans="1:18">
      <c r="A49" s="31" t="s">
        <v>151</v>
      </c>
      <c r="B49" s="32">
        <v>0.94399</v>
      </c>
      <c r="C49" s="65">
        <f>IFERROR(VLOOKUP("Ba-137m",$A$4:$L$32,3)/$B49,0)</f>
        <v>3.3504839120619399</v>
      </c>
      <c r="D49" s="66">
        <f>IFERROR(VLOOKUP("Ba-137m",$A$4:$L$32,4)/$B49,0)</f>
        <v>4.5745573372254551</v>
      </c>
      <c r="E49" s="66">
        <f>IFERROR(VLOOKUP("Ba-137m",$A$4:$L$32,5)/$B49,0)</f>
        <v>3.4861966669939597</v>
      </c>
      <c r="F49" s="66">
        <f>IFERROR(VLOOKUP("Ba-137m",$A$4:$L$32,6)/$B49,0)</f>
        <v>3.2332752904709805</v>
      </c>
      <c r="G49" s="66">
        <f>IFERROR(VLOOKUP("Ba-137m",$A$4:$L$32,7)/$B49,0)</f>
        <v>4.0605136197888836</v>
      </c>
      <c r="H49" s="65">
        <f>IFERROR(VLOOKUP("Ba-137m",$A$4:$L$32,8)/$B49,0)</f>
        <v>0.12396790474629189</v>
      </c>
      <c r="I49" s="66">
        <f>IFERROR(VLOOKUP("Ba-137m",$A$4:$L$32,9)/$B49,0)</f>
        <v>0.16925862147734203</v>
      </c>
      <c r="J49" s="66">
        <f>IFERROR(VLOOKUP("Ba-137m",$A$4:$L$32,10)/$B49,0)</f>
        <v>0.12898927667877663</v>
      </c>
      <c r="K49" s="66">
        <f>IFERROR(VLOOKUP("Ba-137m",$A$4:$L$32,11)/$B49,0)</f>
        <v>0.11963118574742641</v>
      </c>
      <c r="L49" s="66">
        <f>IFERROR(VLOOKUP("Ba-137m",$A$4:$L$32,12)/$B49,0)</f>
        <v>0.15023900393218884</v>
      </c>
      <c r="M49" s="65">
        <f>IFERROR(VLOOKUP("Ba-137m",$A$4:$R$32,13)/$B49,0)</f>
        <v>6.426228143334801E-9</v>
      </c>
      <c r="N49" s="66">
        <f>IFERROR(VLOOKUP("Ba-137m",$A$4:$R$32,14)/$B49,0)</f>
        <v>8.774000972798421E-12</v>
      </c>
      <c r="O49" s="66">
        <f>IFERROR(VLOOKUP("Ba-137m",$A$4:$R$32,15)/$B49,0)</f>
        <v>6.6865252072944151E-9</v>
      </c>
      <c r="P49" s="66">
        <f>IFERROR(VLOOKUP("Ba-137m",$A$4:$R$32,16)/$B49,0)</f>
        <v>6.2014220071233404E-9</v>
      </c>
      <c r="Q49" s="66">
        <f>IFERROR(VLOOKUP("Ba-137m",$A$4:$R$32,17)/$B49,0)</f>
        <v>7.7880651227550761E-9</v>
      </c>
      <c r="R49" s="90">
        <f t="shared" si="79"/>
        <v>1015.5517288640513</v>
      </c>
    </row>
    <row r="50" spans="1:18">
      <c r="A50" s="30" t="s">
        <v>27</v>
      </c>
      <c r="B50" s="30" t="s">
        <v>50</v>
      </c>
      <c r="C50" s="71">
        <f>IFERROR(1/SUM(1/C51,1/C52,1/C56,1/C57,1/C55,1/C58,1/C59,1/C60,1/C61,1/C63,1/C62,1/C64),0)</f>
        <v>1.2254955693636005</v>
      </c>
      <c r="D50" s="72">
        <f t="shared" ref="D50:L50" si="82">IFERROR(1/SUM(1/D51,1/D52,1/D56,1/D57,1/D55,1/D58,1/D59,1/D60,1/D61,1/D63,1/D62,1/D64),0)</f>
        <v>0.88297553628074321</v>
      </c>
      <c r="E50" s="72">
        <f t="shared" si="82"/>
        <v>0.82310912752672161</v>
      </c>
      <c r="F50" s="72">
        <f t="shared" si="82"/>
        <v>0.81981128471289566</v>
      </c>
      <c r="G50" s="72">
        <f t="shared" si="82"/>
        <v>0.90127406081292993</v>
      </c>
      <c r="H50" s="71">
        <f t="shared" si="82"/>
        <v>4.5343336066453264E-2</v>
      </c>
      <c r="I50" s="72">
        <f t="shared" si="82"/>
        <v>3.2670094842387518E-2</v>
      </c>
      <c r="J50" s="72">
        <f t="shared" si="82"/>
        <v>3.0455037718488741E-2</v>
      </c>
      <c r="K50" s="72">
        <f t="shared" si="82"/>
        <v>3.0333017534377164E-2</v>
      </c>
      <c r="L50" s="72">
        <f t="shared" si="82"/>
        <v>3.3347140250078434E-2</v>
      </c>
      <c r="M50" s="20">
        <f>IFERROR(C50*VLOOKUP("Ra-226",Isospec!$A$3:$R$31,3)*VLOOKUP("Ra-226",Isospec!$A$3:$R$31,6)*s_SSLgram,".")</f>
        <v>3.8774679814664311E-9</v>
      </c>
      <c r="N50" s="19">
        <f>IFERROR(D50*VLOOKUP("Ra-226",Isospec!$A$3:$R$31,3)*VLOOKUP("Ra-226",Isospec!$A$3:$R$31,6)*s_SSLcm_m,".")</f>
        <v>2.7937345967922718E-12</v>
      </c>
      <c r="O50" s="19">
        <f>IFERROR(E50*VLOOKUP("Ra-226",Isospec!$A$3:$R$31,3)*VLOOKUP("Ra-226",Isospec!$A$3:$R$31,6)*s_SSLgram,".")</f>
        <v>2.604317279494547E-9</v>
      </c>
      <c r="P50" s="19">
        <f>IFERROR(F50*VLOOKUP("Ra-226",Isospec!$A$3:$R$31,3)*VLOOKUP("Ra-226",Isospec!$A$3:$R$31,6)*s_SSLgram,".")</f>
        <v>2.5938829048316019E-9</v>
      </c>
      <c r="Q50" s="21">
        <f>IFERROR(G50*VLOOKUP("Ra-226",Isospec!$A$3:$R$31,3)*VLOOKUP("Ra-226",Isospec!$A$3:$R$31,6)*s_SSLgram,".")</f>
        <v>2.8516311284121101E-9</v>
      </c>
      <c r="R50" s="89">
        <f t="shared" si="79"/>
        <v>196.02056905432502</v>
      </c>
    </row>
    <row r="51" spans="1:18">
      <c r="A51" s="31" t="s">
        <v>152</v>
      </c>
      <c r="B51" s="32">
        <v>1</v>
      </c>
      <c r="C51" s="65">
        <f>IFERROR(VLOOKUP("Ra-226",$A$4:$L$32,3)/$B51,0)</f>
        <v>79.215961681332871</v>
      </c>
      <c r="D51" s="66">
        <f>IFERROR(VLOOKUP("Ra-226",$A$4:$L$32,4)/$B51,0)</f>
        <v>3.9858378551355069</v>
      </c>
      <c r="E51" s="66">
        <f>IFERROR(VLOOKUP("Ra-226",$A$4:$L$32,5)/$B51,0)</f>
        <v>3.0680616997357122</v>
      </c>
      <c r="F51" s="66">
        <f>IFERROR(VLOOKUP("Ra-226",$A$4:$L$32,6)/$B51,0)</f>
        <v>3.1231399112380336</v>
      </c>
      <c r="G51" s="66">
        <f>IFERROR(VLOOKUP("Ra-226",$A$4:$L$32,7)/$B51,0)</f>
        <v>2.9493478570457206</v>
      </c>
      <c r="H51" s="65">
        <f>IFERROR(VLOOKUP("Ra-226",$A$4:$L$32,8)/$B51,0)</f>
        <v>2.9309905822093194</v>
      </c>
      <c r="I51" s="66">
        <f>IFERROR(VLOOKUP("Ra-226",$A$4:$L$32,9)/$B51,0)</f>
        <v>0.1474760006400139</v>
      </c>
      <c r="J51" s="66">
        <f>IFERROR(VLOOKUP("Ra-226",$A$4:$L$32,10)/$B51,0)</f>
        <v>0.11351828289022146</v>
      </c>
      <c r="K51" s="66">
        <f>IFERROR(VLOOKUP("Ra-226",$A$4:$L$32,11)/$B51,0)</f>
        <v>0.11555617671580735</v>
      </c>
      <c r="L51" s="66">
        <f>IFERROR(VLOOKUP("Ra-226",$A$4:$L$32,12)/$B51,0)</f>
        <v>0.10912587071069177</v>
      </c>
      <c r="M51" s="65">
        <f>IFERROR(VLOOKUP("Ra-226",$A$4:$R$32,13)/$B51,0)</f>
        <v>2.5063930275973718E-7</v>
      </c>
      <c r="N51" s="66">
        <f>IFERROR(VLOOKUP("Ra-226",$A$4:$R$32,14)/$B51,0)</f>
        <v>1.2611190973648745E-11</v>
      </c>
      <c r="O51" s="66">
        <f>IFERROR(VLOOKUP("Ra-226",$A$4:$R$32,15)/$B51,0)</f>
        <v>9.7073472179637924E-9</v>
      </c>
      <c r="P51" s="66">
        <f>IFERROR(VLOOKUP("Ra-226",$A$4:$R$32,16)/$B51,0)</f>
        <v>9.881614679157138E-9</v>
      </c>
      <c r="Q51" s="66">
        <f>IFERROR(VLOOKUP("Ra-226",$A$4:$R$32,17)/$B51,0)</f>
        <v>9.3317366196926599E-9</v>
      </c>
      <c r="R51" s="90">
        <f t="shared" si="79"/>
        <v>884.85600384008262</v>
      </c>
    </row>
    <row r="52" spans="1:18">
      <c r="A52" s="31" t="s">
        <v>153</v>
      </c>
      <c r="B52" s="32">
        <v>1</v>
      </c>
      <c r="C52" s="65">
        <f>IFERROR(VLOOKUP("Rn-222",$A$4:$L$32,3)/$B52,0)</f>
        <v>3778.717474141803</v>
      </c>
      <c r="D52" s="66">
        <f>IFERROR(VLOOKUP("Rn-222",$A$4:$L$32,4)/$B52,0)</f>
        <v>5339.8592549120085</v>
      </c>
      <c r="E52" s="66">
        <f>IFERROR(VLOOKUP("Rn-222",$A$4:$L$32,5)/$B52,0)</f>
        <v>4083.5109580442449</v>
      </c>
      <c r="F52" s="66">
        <f>IFERROR(VLOOKUP("Rn-222",$A$4:$L$32,6)/$B52,0)</f>
        <v>3511.0557800007959</v>
      </c>
      <c r="G52" s="66">
        <f>IFERROR(VLOOKUP("Rn-222",$A$4:$L$32,7)/$B52,0)</f>
        <v>3765.3756173666447</v>
      </c>
      <c r="H52" s="65">
        <f>IFERROR(VLOOKUP("Rn-222",$A$4:$L$32,8)/$B52,0)</f>
        <v>139.81254654324684</v>
      </c>
      <c r="I52" s="66">
        <f>IFERROR(VLOOKUP("Rn-222",$A$4:$L$32,9)/$B52,0)</f>
        <v>197.57479243174453</v>
      </c>
      <c r="J52" s="66">
        <f>IFERROR(VLOOKUP("Rn-222",$A$4:$L$32,10)/$B52,0)</f>
        <v>151.08990544763722</v>
      </c>
      <c r="K52" s="66">
        <f>IFERROR(VLOOKUP("Rn-222",$A$4:$L$32,11)/$B52,0)</f>
        <v>129.90906386002959</v>
      </c>
      <c r="L52" s="66">
        <f>IFERROR(VLOOKUP("Rn-222",$A$4:$L$32,12)/$B52,0)</f>
        <v>139.318897842566</v>
      </c>
      <c r="M52" s="65">
        <f>IFERROR(VLOOKUP("Rn-222",$A$4:$R$32,13)/$B52,0)</f>
        <v>1.1744253909632721E-5</v>
      </c>
      <c r="N52" s="66">
        <f>IFERROR(VLOOKUP("Rn-222",$A$4:$R$32,14)/$B52,0)</f>
        <v>1.6596282564266521E-8</v>
      </c>
      <c r="O52" s="66">
        <f>IFERROR(VLOOKUP("Rn-222",$A$4:$R$32,15)/$B52,0)</f>
        <v>1.2691552057601511E-5</v>
      </c>
      <c r="P52" s="66">
        <f>IFERROR(VLOOKUP("Rn-222",$A$4:$R$32,16)/$B52,0)</f>
        <v>1.0912361364242474E-5</v>
      </c>
      <c r="Q52" s="66">
        <f>IFERROR(VLOOKUP("Rn-222",$A$4:$R$32,17)/$B52,0)</f>
        <v>1.1702787418775532E-5</v>
      </c>
      <c r="R52" s="90">
        <f t="shared" si="79"/>
        <v>1185448.7545904659</v>
      </c>
    </row>
    <row r="53" spans="1:18">
      <c r="A53" s="31" t="s">
        <v>154</v>
      </c>
      <c r="B53" s="32">
        <v>1</v>
      </c>
      <c r="C53" s="65">
        <f>IFERROR(VLOOKUP("Po-218",$A$4:$L$32,3)/$B53,0)</f>
        <v>0</v>
      </c>
      <c r="D53" s="66">
        <f>IFERROR(VLOOKUP("Po-218",$A$4:$L$32,4)/$B53,0)</f>
        <v>0</v>
      </c>
      <c r="E53" s="66">
        <f>IFERROR(VLOOKUP("Po-218",$A$4:$L$32,5)/$B53,0)</f>
        <v>0</v>
      </c>
      <c r="F53" s="66">
        <f>IFERROR(VLOOKUP("Po-218",$A$4:$L$32,6)/$B53,0)</f>
        <v>0</v>
      </c>
      <c r="G53" s="66">
        <f>IFERROR(VLOOKUP("Po-218",$A$4:$L$32,7)/$B53,0)</f>
        <v>0</v>
      </c>
      <c r="H53" s="65">
        <f>IFERROR(VLOOKUP("Po-218",$A$4:$L$32,8)/$B53,0)</f>
        <v>0</v>
      </c>
      <c r="I53" s="66">
        <f>IFERROR(VLOOKUP("Po-218",$A$4:$L$32,9)/$B53,0)</f>
        <v>0</v>
      </c>
      <c r="J53" s="66">
        <f>IFERROR(VLOOKUP("Po-218",$A$4:$L$32,10)/$B53,0)</f>
        <v>0</v>
      </c>
      <c r="K53" s="66">
        <f>IFERROR(VLOOKUP("Po-218",$A$4:$L$32,11)/$B53,0)</f>
        <v>0</v>
      </c>
      <c r="L53" s="66">
        <f>IFERROR(VLOOKUP("Po-218",$A$4:$L$32,12)/$B53,0)</f>
        <v>0</v>
      </c>
      <c r="M53" s="65">
        <f>IFERROR(VLOOKUP("Po-218",$A$4:$R$32,13)/$B53,0)</f>
        <v>0</v>
      </c>
      <c r="N53" s="66">
        <f>IFERROR(VLOOKUP("Po-218",$A$4:$R$32,14)/$B53,0)</f>
        <v>0</v>
      </c>
      <c r="O53" s="66">
        <f>IFERROR(VLOOKUP("Po-218",$A$4:$R$32,15)/$B53,0)</f>
        <v>0</v>
      </c>
      <c r="P53" s="66">
        <f>IFERROR(VLOOKUP("Po-218",$A$4:$R$32,16)/$B53,0)</f>
        <v>0</v>
      </c>
      <c r="Q53" s="66">
        <f>IFERROR(VLOOKUP("Po-218",$A$4:$R$32,17)/$B53,0)</f>
        <v>0</v>
      </c>
      <c r="R53" s="90">
        <f t="shared" si="79"/>
        <v>0</v>
      </c>
    </row>
    <row r="54" spans="1:18">
      <c r="A54" s="31" t="s">
        <v>156</v>
      </c>
      <c r="B54" s="32">
        <v>2.0000000000000001E-4</v>
      </c>
      <c r="C54" s="65">
        <f>IFERROR(VLOOKUP("At-218",$A$4:$L$32,3)/$B54,0)</f>
        <v>0</v>
      </c>
      <c r="D54" s="66">
        <f>IFERROR(VLOOKUP("At-218",$A$4:$L$32,4)/$B54,0)</f>
        <v>0</v>
      </c>
      <c r="E54" s="66">
        <f>IFERROR(VLOOKUP("At-218",$A$4:$L$32,5)/$B54,0)</f>
        <v>0</v>
      </c>
      <c r="F54" s="66">
        <f>IFERROR(VLOOKUP("At-218",$A$4:$L$32,6)/$B54,0)</f>
        <v>0</v>
      </c>
      <c r="G54" s="66">
        <f>IFERROR(VLOOKUP("At-218",$A$4:$L$32,7)/$B54,0)</f>
        <v>0</v>
      </c>
      <c r="H54" s="65">
        <f>IFERROR(VLOOKUP("At-218",$A$4:$L$32,8)/$B54,0)</f>
        <v>0</v>
      </c>
      <c r="I54" s="66">
        <f>IFERROR(VLOOKUP("At-218",$A$4:$L$32,9)/$B54,0)</f>
        <v>0</v>
      </c>
      <c r="J54" s="66">
        <f>IFERROR(VLOOKUP("At-218",$A$4:$L$32,10)/$B54,0)</f>
        <v>0</v>
      </c>
      <c r="K54" s="66">
        <f>IFERROR(VLOOKUP("At-218",$A$4:$L$32,11)/$B54,0)</f>
        <v>0</v>
      </c>
      <c r="L54" s="66">
        <f>IFERROR(VLOOKUP("At-218",$A$4:$L$32,12)/$B54,0)</f>
        <v>0</v>
      </c>
      <c r="M54" s="65">
        <f>IFERROR(VLOOKUP("At-218",$A$4:$R$32,13)/$B54,0)</f>
        <v>0</v>
      </c>
      <c r="N54" s="66">
        <f>IFERROR(VLOOKUP("At-218",$A$4:$R$32,14)/$B54,0)</f>
        <v>0</v>
      </c>
      <c r="O54" s="66">
        <f>IFERROR(VLOOKUP("At-218",$A$4:$R$32,15)/$B54,0)</f>
        <v>0</v>
      </c>
      <c r="P54" s="66">
        <f>IFERROR(VLOOKUP("At-218",$A$4:$R$32,16)/$B54,0)</f>
        <v>0</v>
      </c>
      <c r="Q54" s="66">
        <f>IFERROR(VLOOKUP("At-218",$A$4:$R$32,17)/$B54,0)</f>
        <v>0</v>
      </c>
      <c r="R54" s="90">
        <f t="shared" si="79"/>
        <v>0</v>
      </c>
    </row>
    <row r="55" spans="1:18">
      <c r="A55" s="31" t="s">
        <v>158</v>
      </c>
      <c r="B55" s="32">
        <v>1.9999999999999999E-7</v>
      </c>
      <c r="C55" s="65">
        <f>IFERROR(VLOOKUP("Rn-218",$A$4:$L$32,3)/$B55,0)</f>
        <v>11756968458.316139</v>
      </c>
      <c r="D55" s="66">
        <f>IFERROR(VLOOKUP("Rn-218",$A$4:$L$32,4)/$B55,0)</f>
        <v>16854221529.806067</v>
      </c>
      <c r="E55" s="66">
        <f>IFERROR(VLOOKUP("Rn-218",$A$4:$L$32,5)/$B55,0)</f>
        <v>12390737271.646015</v>
      </c>
      <c r="F55" s="66">
        <f>IFERROR(VLOOKUP("Rn-218",$A$4:$L$32,6)/$B55,0)</f>
        <v>11292190608.750484</v>
      </c>
      <c r="G55" s="66">
        <f>IFERROR(VLOOKUP("Rn-218",$A$4:$L$32,7)/$B55,0)</f>
        <v>14301360755.358089</v>
      </c>
      <c r="H55" s="65">
        <f>IFERROR(VLOOKUP("Rn-218",$A$4:$L$32,8)/$B55,0)</f>
        <v>435007832.95769757</v>
      </c>
      <c r="I55" s="66">
        <f>IFERROR(VLOOKUP("Rn-218",$A$4:$L$32,9)/$B55,0)</f>
        <v>623606196.60282516</v>
      </c>
      <c r="J55" s="66">
        <f>IFERROR(VLOOKUP("Rn-218",$A$4:$L$32,10)/$B55,0)</f>
        <v>458457279.05090302</v>
      </c>
      <c r="K55" s="66">
        <f>IFERROR(VLOOKUP("Rn-218",$A$4:$L$32,11)/$B55,0)</f>
        <v>417811052.52376837</v>
      </c>
      <c r="L55" s="66">
        <f>IFERROR(VLOOKUP("Rn-218",$A$4:$L$32,12)/$B55,0)</f>
        <v>529150347.94824988</v>
      </c>
      <c r="M55" s="65">
        <f>IFERROR(VLOOKUP("Rn-218",$A$4:$R$32,13)/$B55,0)</f>
        <v>35.882267734780854</v>
      </c>
      <c r="N55" s="66">
        <f>IFERROR(VLOOKUP("Rn-218",$A$4:$R$32,14)/$B55,0)</f>
        <v>5.1439084108968115E-2</v>
      </c>
      <c r="O55" s="66">
        <f>IFERROR(VLOOKUP("Rn-218",$A$4:$R$32,15)/$B55,0)</f>
        <v>37.816530153063638</v>
      </c>
      <c r="P55" s="66">
        <f>IFERROR(VLOOKUP("Rn-218",$A$4:$R$32,16)/$B55,0)</f>
        <v>34.463765737906478</v>
      </c>
      <c r="Q55" s="66">
        <f>IFERROR(VLOOKUP("Rn-218",$A$4:$R$32,17)/$B55,0)</f>
        <v>43.647753025352891</v>
      </c>
      <c r="R55" s="90">
        <f>IF(D55&lt;&gt;".",D55*2.22*100,".")</f>
        <v>3741637179616.9473</v>
      </c>
    </row>
    <row r="56" spans="1:18">
      <c r="A56" s="31" t="s">
        <v>155</v>
      </c>
      <c r="B56" s="32">
        <v>0.99980000000000002</v>
      </c>
      <c r="C56" s="65">
        <f>IFERROR(VLOOKUP("Pb-214",$A$4:$L$32,3)/$B56,0)</f>
        <v>3.3942625379348028</v>
      </c>
      <c r="D56" s="66">
        <f>IFERROR(VLOOKUP("Pb-214",$A$4:$L$32,4)/$B56,0)</f>
        <v>2.8383560457972865</v>
      </c>
      <c r="E56" s="66">
        <f>IFERROR(VLOOKUP("Pb-214",$A$4:$L$32,5)/$B56,0)</f>
        <v>2.7348620446770595</v>
      </c>
      <c r="F56" s="66">
        <f>IFERROR(VLOOKUP("Pb-214",$A$4:$L$32,6)/$B56,0)</f>
        <v>2.7699045031074623</v>
      </c>
      <c r="G56" s="66">
        <f>IFERROR(VLOOKUP("Pb-214",$A$4:$L$32,7)/$B56,0)</f>
        <v>3.2367688501928567</v>
      </c>
      <c r="H56" s="65">
        <f>IFERROR(VLOOKUP("Pb-214",$A$4:$L$32,8)/$B56,0)</f>
        <v>0.12558771390358783</v>
      </c>
      <c r="I56" s="66">
        <f>IFERROR(VLOOKUP("Pb-214",$A$4:$L$32,9)/$B56,0)</f>
        <v>0.1050191736944997</v>
      </c>
      <c r="J56" s="66">
        <f>IFERROR(VLOOKUP("Pb-214",$A$4:$L$32,10)/$B56,0)</f>
        <v>0.1011898956530513</v>
      </c>
      <c r="K56" s="66">
        <f>IFERROR(VLOOKUP("Pb-214",$A$4:$L$32,11)/$B56,0)</f>
        <v>0.10248646661497621</v>
      </c>
      <c r="L56" s="66">
        <f>IFERROR(VLOOKUP("Pb-214",$A$4:$L$32,12)/$B56,0)</f>
        <v>0.11976044745713582</v>
      </c>
      <c r="M56" s="65">
        <f>IFERROR(VLOOKUP("Pb-214",$A$4:$R$32,13)/$B56,0)</f>
        <v>1.0169210563652671E-8</v>
      </c>
      <c r="N56" s="66">
        <f>IFERROR(VLOOKUP("Pb-214",$A$4:$R$32,14)/$B56,0)</f>
        <v>8.5037147132086706E-12</v>
      </c>
      <c r="O56" s="66">
        <f>IFERROR(VLOOKUP("Pb-214",$A$4:$R$32,15)/$B56,0)</f>
        <v>8.1936466858524706E-9</v>
      </c>
      <c r="P56" s="66">
        <f>IFERROR(VLOOKUP("Pb-214",$A$4:$R$32,16)/$B56,0)</f>
        <v>8.2986338913099543E-9</v>
      </c>
      <c r="Q56" s="66">
        <f>IFERROR(VLOOKUP("Pb-214",$A$4:$R$32,17)/$B56,0)</f>
        <v>9.6973594751777983E-9</v>
      </c>
      <c r="R56" s="90">
        <f>IF(D56&lt;&gt;".",D56*2.22*100,".")</f>
        <v>630.11504216699768</v>
      </c>
    </row>
    <row r="57" spans="1:18">
      <c r="A57" s="31" t="s">
        <v>157</v>
      </c>
      <c r="B57" s="32">
        <v>0.99999979999999999</v>
      </c>
      <c r="C57" s="65">
        <f>IFERROR(VLOOKUP("Bi-214",$A$4:$L$32,3)/$B57,0)</f>
        <v>2.1674043730218906</v>
      </c>
      <c r="D57" s="66">
        <f>IFERROR(VLOOKUP("Bi-214",$A$4:$L$32,4)/$B57,0)</f>
        <v>3.1606627620388279</v>
      </c>
      <c r="E57" s="66">
        <f>IFERROR(VLOOKUP("Bi-214",$A$4:$L$32,5)/$B57,0)</f>
        <v>2.3868532074607454</v>
      </c>
      <c r="F57" s="66">
        <f>IFERROR(VLOOKUP("Bi-214",$A$4:$L$32,6)/$B57,0)</f>
        <v>2.2971844536541579</v>
      </c>
      <c r="G57" s="66">
        <f>IFERROR(VLOOKUP("Bi-214",$A$4:$L$32,7)/$B57,0)</f>
        <v>2.7433535065179977</v>
      </c>
      <c r="H57" s="65">
        <f>IFERROR(VLOOKUP("Bi-214",$A$4:$L$32,8)/$B57,0)</f>
        <v>8.0193961801810029E-2</v>
      </c>
      <c r="I57" s="66">
        <f>IFERROR(VLOOKUP("Bi-214",$A$4:$L$32,9)/$B57,0)</f>
        <v>0.11694452219543675</v>
      </c>
      <c r="J57" s="66">
        <f>IFERROR(VLOOKUP("Bi-214",$A$4:$L$32,10)/$B57,0)</f>
        <v>8.8313568676047657E-2</v>
      </c>
      <c r="K57" s="66">
        <f>IFERROR(VLOOKUP("Bi-214",$A$4:$L$32,11)/$B57,0)</f>
        <v>8.4995824785203927E-2</v>
      </c>
      <c r="L57" s="66">
        <f>IFERROR(VLOOKUP("Bi-214",$A$4:$L$32,12)/$B57,0)</f>
        <v>0.10150407974116601</v>
      </c>
      <c r="M57" s="65">
        <f>IFERROR(VLOOKUP("Bi-214",$A$4:$R$32,13)/$B57,0)</f>
        <v>6.4935435015735831E-9</v>
      </c>
      <c r="N57" s="66">
        <f>IFERROR(VLOOKUP("Bi-214",$A$4:$R$32,14)/$B57,0)</f>
        <v>9.4693456350683295E-12</v>
      </c>
      <c r="O57" s="66">
        <f>IFERROR(VLOOKUP("Bi-214",$A$4:$R$32,15)/$B57,0)</f>
        <v>7.1510122095523913E-9</v>
      </c>
      <c r="P57" s="66">
        <f>IFERROR(VLOOKUP("Bi-214",$A$4:$R$32,16)/$B57,0)</f>
        <v>6.8823646231478574E-9</v>
      </c>
      <c r="Q57" s="66">
        <f>IFERROR(VLOOKUP("Bi-214",$A$4:$R$32,17)/$B57,0)</f>
        <v>8.219087105527921E-9</v>
      </c>
      <c r="R57" s="90">
        <f t="shared" si="79"/>
        <v>701.66713317261986</v>
      </c>
    </row>
    <row r="58" spans="1:18">
      <c r="A58" s="31" t="s">
        <v>159</v>
      </c>
      <c r="B58" s="32">
        <v>0.99979000004200003</v>
      </c>
      <c r="C58" s="65">
        <f>IFERROR(VLOOKUP("Po-214",$A$4:$L$32,3)/$B58,0)</f>
        <v>25761.527082088553</v>
      </c>
      <c r="D58" s="66">
        <f>IFERROR(VLOOKUP("Po-214",$A$4:$L$32,4)/$B58,0)</f>
        <v>41498.927745141242</v>
      </c>
      <c r="E58" s="66">
        <f>IFERROR(VLOOKUP("Po-214",$A$4:$L$32,5)/$B58,0)</f>
        <v>29862.170828718623</v>
      </c>
      <c r="F58" s="66">
        <f>IFERROR(VLOOKUP("Po-214",$A$4:$L$32,6)/$B58,0)</f>
        <v>29115.561625225626</v>
      </c>
      <c r="G58" s="66">
        <f>IFERROR(VLOOKUP("Po-214",$A$4:$L$32,7)/$B58,0)</f>
        <v>33576.815567132791</v>
      </c>
      <c r="H58" s="65">
        <f>IFERROR(VLOOKUP("Po-214",$A$4:$L$32,8)/$B58,0)</f>
        <v>953.17650203727749</v>
      </c>
      <c r="I58" s="66">
        <f>IFERROR(VLOOKUP("Po-214",$A$4:$L$32,9)/$B58,0)</f>
        <v>1535.4603265702276</v>
      </c>
      <c r="J58" s="66">
        <f>IFERROR(VLOOKUP("Po-214",$A$4:$L$32,10)/$B58,0)</f>
        <v>1104.9003206625903</v>
      </c>
      <c r="K58" s="66">
        <f>IFERROR(VLOOKUP("Po-214",$A$4:$L$32,11)/$B58,0)</f>
        <v>1077.2757801333491</v>
      </c>
      <c r="L58" s="66">
        <f>IFERROR(VLOOKUP("Po-214",$A$4:$L$32,12)/$B58,0)</f>
        <v>1242.3421759839146</v>
      </c>
      <c r="M58" s="65">
        <f>IFERROR(VLOOKUP("Po-214",$A$4:$R$32,13)/$B58,0)</f>
        <v>7.7181535137937305E-5</v>
      </c>
      <c r="N58" s="66">
        <f>IFERROR(VLOOKUP("Po-214",$A$4:$R$32,14)/$B58,0)</f>
        <v>1.243307875244432E-7</v>
      </c>
      <c r="O58" s="66">
        <f>IFERROR(VLOOKUP("Po-214",$A$4:$R$32,15)/$B58,0)</f>
        <v>8.9467063802840983E-5</v>
      </c>
      <c r="P58" s="66">
        <f>IFERROR(VLOOKUP("Po-214",$A$4:$R$32,16)/$B58,0)</f>
        <v>8.7230222629175989E-5</v>
      </c>
      <c r="Q58" s="66">
        <f>IFERROR(VLOOKUP("Po-214",$A$4:$R$32,17)/$B58,0)</f>
        <v>1.0059613943912985E-4</v>
      </c>
      <c r="R58" s="90">
        <f t="shared" si="79"/>
        <v>9212761.9594213571</v>
      </c>
    </row>
    <row r="59" spans="1:18">
      <c r="A59" s="31" t="s">
        <v>160</v>
      </c>
      <c r="B59" s="32">
        <v>2.0999995799999999E-4</v>
      </c>
      <c r="C59" s="65">
        <f>IFERROR(VLOOKUP("Tl-210",$A$4:$L$32,3)/$B59,0)</f>
        <v>4290.8107546799365</v>
      </c>
      <c r="D59" s="66">
        <f>IFERROR(VLOOKUP("Tl-210",$A$4:$L$32,4)/$B59,0)</f>
        <v>5210.5262396409562</v>
      </c>
      <c r="E59" s="66">
        <f>IFERROR(VLOOKUP("Tl-210",$A$4:$L$32,5)/$B59,0)</f>
        <v>4374.4715129411079</v>
      </c>
      <c r="F59" s="66">
        <f>IFERROR(VLOOKUP("Tl-210",$A$4:$L$32,6)/$B59,0)</f>
        <v>4299.6709772191325</v>
      </c>
      <c r="G59" s="66">
        <f>IFERROR(VLOOKUP("Tl-210",$A$4:$L$32,7)/$B59,0)</f>
        <v>5028.4601851211482</v>
      </c>
      <c r="H59" s="65">
        <f>IFERROR(VLOOKUP("Tl-210",$A$4:$L$32,8)/$B59,0)</f>
        <v>158.75999792315781</v>
      </c>
      <c r="I59" s="66">
        <f>IFERROR(VLOOKUP("Tl-210",$A$4:$L$32,9)/$B59,0)</f>
        <v>192.78947086671559</v>
      </c>
      <c r="J59" s="66">
        <f>IFERROR(VLOOKUP("Tl-210",$A$4:$L$32,10)/$B59,0)</f>
        <v>161.85544597882117</v>
      </c>
      <c r="K59" s="66">
        <f>IFERROR(VLOOKUP("Tl-210",$A$4:$L$32,11)/$B59,0)</f>
        <v>159.08782615710808</v>
      </c>
      <c r="L59" s="66">
        <f>IFERROR(VLOOKUP("Tl-210",$A$4:$L$32,12)/$B59,0)</f>
        <v>186.05302684948268</v>
      </c>
      <c r="M59" s="65">
        <f>IFERROR(VLOOKUP("Tl-210",$A$4:$R$32,13)/$B59,0)</f>
        <v>1.261498361875901E-5</v>
      </c>
      <c r="N59" s="66">
        <f>IFERROR(VLOOKUP("Tl-210",$A$4:$R$32,14)/$B59,0)</f>
        <v>1.5318947144544412E-8</v>
      </c>
      <c r="O59" s="66">
        <f>IFERROR(VLOOKUP("Tl-210",$A$4:$R$32,15)/$B59,0)</f>
        <v>1.2860946248046858E-5</v>
      </c>
      <c r="P59" s="66">
        <f>IFERROR(VLOOKUP("Tl-210",$A$4:$R$32,16)/$B59,0)</f>
        <v>1.2641032673024249E-5</v>
      </c>
      <c r="Q59" s="66">
        <f>IFERROR(VLOOKUP("Tl-210",$A$4:$R$32,17)/$B59,0)</f>
        <v>1.4783672944256174E-5</v>
      </c>
      <c r="R59" s="90">
        <f t="shared" si="79"/>
        <v>1156736.8252002923</v>
      </c>
    </row>
    <row r="60" spans="1:18">
      <c r="A60" s="31" t="s">
        <v>161</v>
      </c>
      <c r="B60" s="32">
        <v>1</v>
      </c>
      <c r="C60" s="65">
        <f>IFERROR(VLOOKUP("Pb-210",$A$4:$L$32,3)/$B60,0)</f>
        <v>21.351505948955445</v>
      </c>
      <c r="D60" s="66">
        <f>IFERROR(VLOOKUP("Pb-210",$A$4:$L$32,4)/$B60,0)</f>
        <v>4.7051409522604022</v>
      </c>
      <c r="E60" s="66">
        <f>IFERROR(VLOOKUP("Pb-210",$A$4:$L$32,5)/$B60,0)</f>
        <v>9.6297466262533646</v>
      </c>
      <c r="F60" s="66">
        <f>IFERROR(VLOOKUP("Pb-210",$A$4:$L$32,6)/$B60,0)</f>
        <v>9.7364001528573159</v>
      </c>
      <c r="G60" s="66">
        <f>IFERROR(VLOOKUP("Pb-210",$A$4:$L$32,7)/$B60,0)</f>
        <v>10.360881752070746</v>
      </c>
      <c r="H60" s="65">
        <f>IFERROR(VLOOKUP("Pb-210",$A$4:$L$32,8)/$B60,0)</f>
        <v>0.79000572011135228</v>
      </c>
      <c r="I60" s="66">
        <f>IFERROR(VLOOKUP("Pb-210",$A$4:$L$32,9)/$B60,0)</f>
        <v>0.17409021523363505</v>
      </c>
      <c r="J60" s="66">
        <f>IFERROR(VLOOKUP("Pb-210",$A$4:$L$32,10)/$B60,0)</f>
        <v>0.35630062517137484</v>
      </c>
      <c r="K60" s="66">
        <f>IFERROR(VLOOKUP("Pb-210",$A$4:$L$32,11)/$B60,0)</f>
        <v>0.36024680565572104</v>
      </c>
      <c r="L60" s="66">
        <f>IFERROR(VLOOKUP("Pb-210",$A$4:$L$32,12)/$B60,0)</f>
        <v>0.38335262482661797</v>
      </c>
      <c r="M60" s="65">
        <f>IFERROR(VLOOKUP("Pb-210",$A$4:$R$32,13)/$B60,0)</f>
        <v>6.2773427489929008E-8</v>
      </c>
      <c r="N60" s="66">
        <f>IFERROR(VLOOKUP("Pb-210",$A$4:$R$32,14)/$B60,0)</f>
        <v>1.3833114399645583E-11</v>
      </c>
      <c r="O60" s="66">
        <f>IFERROR(VLOOKUP("Pb-210",$A$4:$R$32,15)/$B60,0)</f>
        <v>2.8311455081184893E-8</v>
      </c>
      <c r="P60" s="66">
        <f>IFERROR(VLOOKUP("Pb-210",$A$4:$R$32,16)/$B60,0)</f>
        <v>2.8625016449400505E-8</v>
      </c>
      <c r="Q60" s="66">
        <f>IFERROR(VLOOKUP("Pb-210",$A$4:$R$32,17)/$B60,0)</f>
        <v>3.0460992351087991E-8</v>
      </c>
      <c r="R60" s="90">
        <f t="shared" si="79"/>
        <v>1044.5412914018095</v>
      </c>
    </row>
    <row r="61" spans="1:18">
      <c r="A61" s="31" t="s">
        <v>162</v>
      </c>
      <c r="B61" s="32">
        <v>1</v>
      </c>
      <c r="C61" s="65">
        <f>IFERROR(VLOOKUP("Bi-210",$A$4:$L$32,3)/$B61,0)</f>
        <v>2550031.2816509944</v>
      </c>
      <c r="D61" s="66">
        <f>IFERROR(VLOOKUP("Bi-210",$A$4:$L$32,4)/$B61,0)</f>
        <v>2512332.3204800002</v>
      </c>
      <c r="E61" s="66">
        <f>IFERROR(VLOOKUP("Bi-210",$A$4:$L$32,5)/$B61,0)</f>
        <v>2159181.0792490621</v>
      </c>
      <c r="F61" s="66">
        <f>IFERROR(VLOOKUP("Bi-210",$A$4:$L$32,6)/$B61,0)</f>
        <v>2158126.1921277572</v>
      </c>
      <c r="G61" s="66">
        <f>IFERROR(VLOOKUP("Bi-210",$A$4:$L$32,7)/$B61,0)</f>
        <v>2547078.9422842553</v>
      </c>
      <c r="H61" s="65">
        <f>IFERROR(VLOOKUP("Bi-210",$A$4:$L$32,8)/$B61,0)</f>
        <v>94351.157421086886</v>
      </c>
      <c r="I61" s="66">
        <f>IFERROR(VLOOKUP("Bi-210",$A$4:$L$32,9)/$B61,0)</f>
        <v>92956.295857760109</v>
      </c>
      <c r="J61" s="66">
        <f>IFERROR(VLOOKUP("Bi-210",$A$4:$L$32,10)/$B61,0)</f>
        <v>79889.699932215386</v>
      </c>
      <c r="K61" s="66">
        <f>IFERROR(VLOOKUP("Bi-210",$A$4:$L$32,11)/$B61,0)</f>
        <v>79850.669108727103</v>
      </c>
      <c r="L61" s="66">
        <f>IFERROR(VLOOKUP("Bi-210",$A$4:$L$32,12)/$B61,0)</f>
        <v>94241.920864517539</v>
      </c>
      <c r="M61" s="65">
        <f>IFERROR(VLOOKUP("Bi-210",$A$4:$R$32,13)/$B61,0)</f>
        <v>7.4970919680539226E-3</v>
      </c>
      <c r="N61" s="66">
        <f>IFERROR(VLOOKUP("Bi-210",$A$4:$R$32,14)/$B61,0)</f>
        <v>7.386257022211201E-6</v>
      </c>
      <c r="O61" s="66">
        <f>IFERROR(VLOOKUP("Bi-210",$A$4:$R$32,15)/$B61,0)</f>
        <v>6.3479923729922415E-3</v>
      </c>
      <c r="P61" s="66">
        <f>IFERROR(VLOOKUP("Bi-210",$A$4:$R$32,16)/$B61,0)</f>
        <v>6.3448910048556056E-3</v>
      </c>
      <c r="Q61" s="66">
        <f>IFERROR(VLOOKUP("Bi-210",$A$4:$R$32,17)/$B61,0)</f>
        <v>7.4884120903157096E-3</v>
      </c>
      <c r="R61" s="90">
        <f t="shared" si="79"/>
        <v>557737775.14656007</v>
      </c>
    </row>
    <row r="62" spans="1:18">
      <c r="A62" s="31" t="s">
        <v>164</v>
      </c>
      <c r="B62" s="32">
        <v>1</v>
      </c>
      <c r="C62" s="65">
        <f>IFERROR(VLOOKUP("Po-210",$A$4:$L$32,3)/$B62,0)</f>
        <v>221526.71900752946</v>
      </c>
      <c r="D62" s="66">
        <f>IFERROR(VLOOKUP("Po-210",$A$4:$L$32,4)/$B62,0)</f>
        <v>356983.28427726222</v>
      </c>
      <c r="E62" s="66">
        <f>IFERROR(VLOOKUP("Po-210",$A$4:$L$32,5)/$B62,0)</f>
        <v>256905.84128799141</v>
      </c>
      <c r="F62" s="66">
        <f>IFERROR(VLOOKUP("Po-210",$A$4:$L$32,6)/$B62,0)</f>
        <v>250796.37987105895</v>
      </c>
      <c r="G62" s="66">
        <f>IFERROR(VLOOKUP("Po-210",$A$4:$L$32,7)/$B62,0)</f>
        <v>289037.77524255606</v>
      </c>
      <c r="H62" s="65">
        <f>IFERROR(VLOOKUP("Po-210",$A$4:$L$32,8)/$B62,0)</f>
        <v>8196.488603278598</v>
      </c>
      <c r="I62" s="66">
        <f>IFERROR(VLOOKUP("Po-210",$A$4:$L$32,9)/$B62,0)</f>
        <v>13208.381518258715</v>
      </c>
      <c r="J62" s="66">
        <f>IFERROR(VLOOKUP("Po-210",$A$4:$L$32,10)/$B62,0)</f>
        <v>9505.5161276556919</v>
      </c>
      <c r="K62" s="66">
        <f>IFERROR(VLOOKUP("Po-210",$A$4:$L$32,11)/$B62,0)</f>
        <v>9279.4660552291898</v>
      </c>
      <c r="L62" s="66">
        <f>IFERROR(VLOOKUP("Po-210",$A$4:$L$32,12)/$B62,0)</f>
        <v>10694.397683974585</v>
      </c>
      <c r="M62" s="65">
        <f>IFERROR(VLOOKUP("Po-210",$A$4:$R$32,13)/$B62,0)</f>
        <v>6.5128855388213653E-4</v>
      </c>
      <c r="N62" s="66">
        <f>IFERROR(VLOOKUP("Po-210",$A$4:$R$32,14)/$B62,0)</f>
        <v>1.0495308557751511E-6</v>
      </c>
      <c r="O62" s="66">
        <f>IFERROR(VLOOKUP("Po-210",$A$4:$R$32,15)/$B62,0)</f>
        <v>7.5530317338669479E-4</v>
      </c>
      <c r="P62" s="66">
        <f>IFERROR(VLOOKUP("Po-210",$A$4:$R$32,16)/$B62,0)</f>
        <v>7.3734135682091318E-4</v>
      </c>
      <c r="Q62" s="66">
        <f>IFERROR(VLOOKUP("Po-210",$A$4:$R$32,17)/$B62,0)</f>
        <v>8.497710592131147E-4</v>
      </c>
      <c r="R62" s="90">
        <f>IF(D62&lt;&gt;".",D62*2.22*100,".")</f>
        <v>79250289.10955222</v>
      </c>
    </row>
    <row r="63" spans="1:18">
      <c r="A63" s="31" t="s">
        <v>163</v>
      </c>
      <c r="B63" s="34">
        <v>1.9000000000000001E-8</v>
      </c>
      <c r="C63" s="65">
        <f>IFERROR(VLOOKUP("Hg-206",$A$4:$L$32,3)/$B63,0)</f>
        <v>388666414.71831822</v>
      </c>
      <c r="D63" s="66">
        <f>IFERROR(VLOOKUP("Hg-206",$A$4:$L$32,4)/$B63,0)</f>
        <v>360647863.2608484</v>
      </c>
      <c r="E63" s="66">
        <f>IFERROR(VLOOKUP("Hg-206",$A$4:$L$32,5)/$B63,0)</f>
        <v>317094179.39389831</v>
      </c>
      <c r="F63" s="66">
        <f>IFERROR(VLOOKUP("Hg-206",$A$4:$L$32,6)/$B63,0)</f>
        <v>320449843.94884729</v>
      </c>
      <c r="G63" s="66">
        <f>IFERROR(VLOOKUP("Hg-206",$A$4:$L$32,7)/$B63,0)</f>
        <v>379571498.80087131</v>
      </c>
      <c r="H63" s="65">
        <f>IFERROR(VLOOKUP("Hg-206",$A$4:$L$32,8)/$B63,0)</f>
        <v>14380657.344577791</v>
      </c>
      <c r="I63" s="66">
        <f>IFERROR(VLOOKUP("Hg-206",$A$4:$L$32,9)/$B63,0)</f>
        <v>13343970.940651404</v>
      </c>
      <c r="J63" s="66">
        <f>IFERROR(VLOOKUP("Hg-206",$A$4:$L$32,10)/$B63,0)</f>
        <v>11732484.63757425</v>
      </c>
      <c r="K63" s="66">
        <f>IFERROR(VLOOKUP("Hg-206",$A$4:$L$32,11)/$B63,0)</f>
        <v>11856644.226107361</v>
      </c>
      <c r="L63" s="66">
        <f>IFERROR(VLOOKUP("Hg-206",$A$4:$L$32,12)/$B63,0)</f>
        <v>14044145.455632253</v>
      </c>
      <c r="M63" s="65">
        <f>IFERROR(VLOOKUP("Hg-206",$A$4:$R$32,13)/$B63,0)</f>
        <v>1.1209139400476298</v>
      </c>
      <c r="N63" s="66">
        <f>IFERROR(VLOOKUP("Hg-206",$A$4:$R$32,14)/$B63,0)</f>
        <v>1.0401084376442868E-3</v>
      </c>
      <c r="O63" s="66">
        <f>IFERROR(VLOOKUP("Hg-206",$A$4:$R$32,15)/$B63,0)</f>
        <v>0.9144996133720027</v>
      </c>
      <c r="P63" s="66">
        <f>IFERROR(VLOOKUP("Hg-206",$A$4:$R$32,16)/$B63,0)</f>
        <v>0.92417734994847556</v>
      </c>
      <c r="Q63" s="66">
        <f>IFERROR(VLOOKUP("Hg-206",$A$4:$R$32,17)/$B63,0)</f>
        <v>1.0946842025417125</v>
      </c>
      <c r="R63" s="90">
        <f t="shared" si="79"/>
        <v>80063825643.908356</v>
      </c>
    </row>
    <row r="64" spans="1:18">
      <c r="A64" s="31" t="s">
        <v>165</v>
      </c>
      <c r="B64" s="32">
        <v>1.339E-6</v>
      </c>
      <c r="C64" s="65">
        <f>IFERROR(VLOOKUP("Tl-206",$A$4:$L$32,3)/$B64,0)</f>
        <v>3533439977.9744945</v>
      </c>
      <c r="D64" s="66">
        <f>IFERROR(VLOOKUP("Tl-206",$A$4:$L$32,4)/$B64,0)</f>
        <v>1568499934.6595252</v>
      </c>
      <c r="E64" s="66">
        <f>IFERROR(VLOOKUP("Tl-206",$A$4:$L$32,5)/$B64,0)</f>
        <v>1939050713.1047513</v>
      </c>
      <c r="F64" s="66">
        <f>IFERROR(VLOOKUP("Tl-206",$A$4:$L$32,6)/$B64,0)</f>
        <v>2447063597.6084442</v>
      </c>
      <c r="G64" s="66">
        <f>IFERROR(VLOOKUP("Tl-206",$A$4:$L$32,7)/$B64,0)</f>
        <v>2335720124.5948763</v>
      </c>
      <c r="H64" s="65">
        <f>IFERROR(VLOOKUP("Tl-206",$A$4:$L$32,8)/$B64,0)</f>
        <v>130737279.18505643</v>
      </c>
      <c r="I64" s="66">
        <f>IFERROR(VLOOKUP("Tl-206",$A$4:$L$32,9)/$B64,0)</f>
        <v>58034497.58240249</v>
      </c>
      <c r="J64" s="66">
        <f>IFERROR(VLOOKUP("Tl-206",$A$4:$L$32,10)/$B64,0)</f>
        <v>71744876.384875864</v>
      </c>
      <c r="K64" s="66">
        <f>IFERROR(VLOOKUP("Tl-206",$A$4:$L$32,11)/$B64,0)</f>
        <v>90541353.111512527</v>
      </c>
      <c r="L64" s="66">
        <f>IFERROR(VLOOKUP("Tl-206",$A$4:$L$32,12)/$B64,0)</f>
        <v>86421644.61001052</v>
      </c>
      <c r="M64" s="65">
        <f>IFERROR(VLOOKUP("Tl-206",$A$4:$R$32,13)/$B64,0)</f>
        <v>10.190440896478442</v>
      </c>
      <c r="N64" s="66">
        <f>IFERROR(VLOOKUP("Tl-206",$A$4:$R$32,14)/$B64,0)</f>
        <v>4.5235538115580712E-3</v>
      </c>
      <c r="O64" s="66">
        <f>IFERROR(VLOOKUP("Tl-206",$A$4:$R$32,15)/$B64,0)</f>
        <v>5.5922222565941029</v>
      </c>
      <c r="P64" s="66">
        <f>IFERROR(VLOOKUP("Tl-206",$A$4:$R$32,16)/$B64,0)</f>
        <v>7.0573314155027527</v>
      </c>
      <c r="Q64" s="66">
        <f>IFERROR(VLOOKUP("Tl-206",$A$4:$R$32,17)/$B64,0)</f>
        <v>6.7362168393316217</v>
      </c>
      <c r="R64" s="90">
        <f t="shared" ref="R64:R68" si="83">IF(D64&lt;&gt;".",D64*2.22*100,".")</f>
        <v>348206985494.41461</v>
      </c>
    </row>
    <row r="65" spans="1:18">
      <c r="A65" s="30" t="s">
        <v>31</v>
      </c>
      <c r="B65" s="30" t="s">
        <v>50</v>
      </c>
      <c r="C65" s="71">
        <f>IFERROR(1/SUM(1/C66,1/C69,1/C70,1/C71,1/C72,1/C73,1/C74,1/C75,1/C76,1/C77,1/C78),0)</f>
        <v>1.2447522742584485</v>
      </c>
      <c r="D65" s="72">
        <f t="shared" ref="D65:G65" si="84">IFERROR(1/SUM(1/D66,1/D69,1/D70,1/D71,1/D72,1/D73,1/D74,1/D75,1/D76,1/D77,1/D78),0)</f>
        <v>1.1342421789972739</v>
      </c>
      <c r="E65" s="72">
        <f t="shared" si="84"/>
        <v>1.1249010870562479</v>
      </c>
      <c r="F65" s="72">
        <f t="shared" si="84"/>
        <v>1.1116022757173105</v>
      </c>
      <c r="G65" s="73">
        <f t="shared" si="84"/>
        <v>1.297888154596248</v>
      </c>
      <c r="H65" s="71">
        <f>IFERROR(1/SUM(1/H66,1/H69,1/H70,1/H71,1/H72,1/H73,1/H74,1/H75,1/H76,1/H77,1/H78),0)</f>
        <v>4.6055834147562626E-2</v>
      </c>
      <c r="I65" s="72">
        <f t="shared" ref="I65:L65" si="85">IFERROR(1/SUM(1/I66,1/I69,1/I70,1/I71,1/I72,1/I73,1/I74,1/I75,1/I76,1/I77,1/I78),0)</f>
        <v>4.196696062289916E-2</v>
      </c>
      <c r="J65" s="72">
        <f t="shared" si="85"/>
        <v>4.1621340221081216E-2</v>
      </c>
      <c r="K65" s="72">
        <f t="shared" si="85"/>
        <v>4.1129284201540543E-2</v>
      </c>
      <c r="L65" s="73">
        <f t="shared" si="85"/>
        <v>4.8021861720061232E-2</v>
      </c>
      <c r="M65" s="20">
        <f>IFERROR(C65*VLOOKUP("Rn-222",Isospec!$A$3:$R$31,3)*VLOOKUP("Rn-222",Isospec!$A$3:$R$31,6)*s_SSLgram,".")</f>
        <v>3.8686900683952579E-9</v>
      </c>
      <c r="N65" s="19">
        <f>IFERROR(D65*VLOOKUP("Rn-222",Isospec!$A$3:$R$31,3)*VLOOKUP("Rn-222",Isospec!$A$3:$R$31,6)*s_SSLcm_m,".")</f>
        <v>3.5252246923235277E-12</v>
      </c>
      <c r="O65" s="19">
        <f>IFERROR(E65*VLOOKUP("Rn-222",Isospec!$A$3:$R$31,3)*VLOOKUP("Rn-222",Isospec!$A$3:$R$31,6)*s_SSLgram,".")</f>
        <v>3.496192578570818E-9</v>
      </c>
      <c r="P65" s="19">
        <f>IFERROR(F65*VLOOKUP("Rn-222",Isospec!$A$3:$R$31,3)*VLOOKUP("Rn-222",Isospec!$A$3:$R$31,6)*s_SSLgram,".")</f>
        <v>3.4548598729294012E-9</v>
      </c>
      <c r="Q65" s="21">
        <f>IFERROR(G65*VLOOKUP("Rn-222",Isospec!$A$3:$R$31,3)*VLOOKUP("Rn-222",Isospec!$A$3:$R$31,6)*s_SSLgram,".")</f>
        <v>4.0338363844851389E-9</v>
      </c>
      <c r="R65" s="89">
        <f t="shared" si="83"/>
        <v>251.80176373739482</v>
      </c>
    </row>
    <row r="66" spans="1:18">
      <c r="A66" s="31" t="s">
        <v>153</v>
      </c>
      <c r="B66" s="32">
        <v>1</v>
      </c>
      <c r="C66" s="65">
        <f>IFERROR(VLOOKUP("Rn-222",$A$4:$L$32,3)/$B66,0)</f>
        <v>3778.717474141803</v>
      </c>
      <c r="D66" s="66">
        <f>IFERROR(VLOOKUP("Rn-222",$A$4:$L$32,4)/$B66,0)</f>
        <v>5339.8592549120085</v>
      </c>
      <c r="E66" s="66">
        <f>IFERROR(VLOOKUP("Rn-222",$A$4:$L$32,5)/$B66,0)</f>
        <v>4083.5109580442449</v>
      </c>
      <c r="F66" s="66">
        <f>IFERROR(VLOOKUP("Rn-222",$A$4:$L$32,6)/$B66,0)</f>
        <v>3511.0557800007959</v>
      </c>
      <c r="G66" s="66">
        <f>IFERROR(VLOOKUP("Rn-222",$A$4:$L$32,7)/$B66,0)</f>
        <v>3765.3756173666447</v>
      </c>
      <c r="H66" s="65">
        <f>IFERROR(VLOOKUP("Rn-222",$A$4:$L$32,8)/$B66,0)</f>
        <v>139.81254654324684</v>
      </c>
      <c r="I66" s="66">
        <f>IFERROR(VLOOKUP("Rn-222",$A$4:$L$32,9)/$B66,0)</f>
        <v>197.57479243174453</v>
      </c>
      <c r="J66" s="66">
        <f>IFERROR(VLOOKUP("Rn-222",$A$4:$L$32,10)/$B66,0)</f>
        <v>151.08990544763722</v>
      </c>
      <c r="K66" s="66">
        <f>IFERROR(VLOOKUP("Rn-222",$A$4:$L$32,11)/$B66,0)</f>
        <v>129.90906386002959</v>
      </c>
      <c r="L66" s="66">
        <f>IFERROR(VLOOKUP("Rn-222",$A$4:$L$32,12)/$B66,0)</f>
        <v>139.318897842566</v>
      </c>
      <c r="M66" s="65">
        <f>IFERROR(VLOOKUP("Rn-222",$A$4:$R$32,13)/$B66,0)</f>
        <v>1.1744253909632721E-5</v>
      </c>
      <c r="N66" s="66">
        <f>IFERROR(VLOOKUP("Rn-222",$A$4:$R$32,14)/$B66,0)</f>
        <v>1.6596282564266521E-8</v>
      </c>
      <c r="O66" s="66">
        <f>IFERROR(VLOOKUP("Rn-222",$A$4:$R$32,15)/$B66,0)</f>
        <v>1.2691552057601511E-5</v>
      </c>
      <c r="P66" s="66">
        <f>IFERROR(VLOOKUP("Rn-222",$A$4:$R$32,16)/$B66,0)</f>
        <v>1.0912361364242474E-5</v>
      </c>
      <c r="Q66" s="66">
        <f>IFERROR(VLOOKUP("Rn-222",$A$4:$R$32,17)/$B66,0)</f>
        <v>1.1702787418775532E-5</v>
      </c>
      <c r="R66" s="90">
        <f t="shared" si="83"/>
        <v>1185448.7545904659</v>
      </c>
    </row>
    <row r="67" spans="1:18">
      <c r="A67" s="31" t="s">
        <v>154</v>
      </c>
      <c r="B67" s="32">
        <v>1</v>
      </c>
      <c r="C67" s="65">
        <f>IFERROR(VLOOKUP("Po-218",$A$4:$L$32,3)/$B67,0)</f>
        <v>0</v>
      </c>
      <c r="D67" s="66">
        <f>IFERROR(VLOOKUP("Po-218",$A$4:$L$32,4)/$B67,0)</f>
        <v>0</v>
      </c>
      <c r="E67" s="66">
        <f>IFERROR(VLOOKUP("Po-218",$A$4:$L$32,5)/$B67,0)</f>
        <v>0</v>
      </c>
      <c r="F67" s="66">
        <f>IFERROR(VLOOKUP("Po-218",$A$4:$L$32,6)/$B67,0)</f>
        <v>0</v>
      </c>
      <c r="G67" s="66">
        <f>IFERROR(VLOOKUP("Po-218",$A$4:$L$32,7)/$B67,0)</f>
        <v>0</v>
      </c>
      <c r="H67" s="65">
        <f>IFERROR(VLOOKUP("Po-218",$A$4:$L$32,8)/$B67,0)</f>
        <v>0</v>
      </c>
      <c r="I67" s="66">
        <f>IFERROR(VLOOKUP("Po-218",$A$4:$L$32,9)/$B67,0)</f>
        <v>0</v>
      </c>
      <c r="J67" s="66">
        <f>IFERROR(VLOOKUP("Po-218",$A$4:$L$32,10)/$B67,0)</f>
        <v>0</v>
      </c>
      <c r="K67" s="66">
        <f>IFERROR(VLOOKUP("Po-218",$A$4:$L$32,11)/$B67,0)</f>
        <v>0</v>
      </c>
      <c r="L67" s="66">
        <f>IFERROR(VLOOKUP("Po-218",$A$4:$L$32,12)/$B67,0)</f>
        <v>0</v>
      </c>
      <c r="M67" s="65">
        <f>IFERROR(VLOOKUP("Po-218",$A$4:$R$32,13)/$B67,0)</f>
        <v>0</v>
      </c>
      <c r="N67" s="66">
        <f>IFERROR(VLOOKUP("Po-218",$A$4:$R$32,14)/$B67,0)</f>
        <v>0</v>
      </c>
      <c r="O67" s="66">
        <f>IFERROR(VLOOKUP("Po-218",$A$4:$R$32,15)/$B67,0)</f>
        <v>0</v>
      </c>
      <c r="P67" s="66">
        <f>IFERROR(VLOOKUP("Po-218",$A$4:$R$32,16)/$B67,0)</f>
        <v>0</v>
      </c>
      <c r="Q67" s="66">
        <f>IFERROR(VLOOKUP("Po-218",$A$4:$R$32,17)/$B67,0)</f>
        <v>0</v>
      </c>
      <c r="R67" s="90">
        <f t="shared" si="83"/>
        <v>0</v>
      </c>
    </row>
    <row r="68" spans="1:18">
      <c r="A68" s="31" t="s">
        <v>156</v>
      </c>
      <c r="B68" s="32">
        <v>2.0000000000000001E-4</v>
      </c>
      <c r="C68" s="65">
        <f>IFERROR(VLOOKUP("At-218",$A$4:$L$32,3)/$B68,0)</f>
        <v>0</v>
      </c>
      <c r="D68" s="66">
        <f>IFERROR(VLOOKUP("At-218",$A$4:$L$32,4)/$B68,0)</f>
        <v>0</v>
      </c>
      <c r="E68" s="66">
        <f>IFERROR(VLOOKUP("At-218",$A$4:$L$32,5)/$B68,0)</f>
        <v>0</v>
      </c>
      <c r="F68" s="66">
        <f>IFERROR(VLOOKUP("At-218",$A$4:$L$32,6)/$B68,0)</f>
        <v>0</v>
      </c>
      <c r="G68" s="66">
        <f>IFERROR(VLOOKUP("At-218",$A$4:$L$32,7)/$B68,0)</f>
        <v>0</v>
      </c>
      <c r="H68" s="65">
        <f>IFERROR(VLOOKUP("At-218",$A$4:$L$32,8)/$B68,0)</f>
        <v>0</v>
      </c>
      <c r="I68" s="66">
        <f>IFERROR(VLOOKUP("At-218",$A$4:$L$32,9)/$B68,0)</f>
        <v>0</v>
      </c>
      <c r="J68" s="66">
        <f>IFERROR(VLOOKUP("At-218",$A$4:$L$32,10)/$B68,0)</f>
        <v>0</v>
      </c>
      <c r="K68" s="66">
        <f>IFERROR(VLOOKUP("At-218",$A$4:$L$32,11)/$B68,0)</f>
        <v>0</v>
      </c>
      <c r="L68" s="66">
        <f>IFERROR(VLOOKUP("At-218",$A$4:$L$32,12)/$B68,0)</f>
        <v>0</v>
      </c>
      <c r="M68" s="65">
        <f>IFERROR(VLOOKUP("At-218",$A$4:$R$32,13)/$B68,0)</f>
        <v>0</v>
      </c>
      <c r="N68" s="66">
        <f>IFERROR(VLOOKUP("At-218",$A$4:$R$32,14)/$B68,0)</f>
        <v>0</v>
      </c>
      <c r="O68" s="66">
        <f>IFERROR(VLOOKUP("At-218",$A$4:$R$32,15)/$B68,0)</f>
        <v>0</v>
      </c>
      <c r="P68" s="66">
        <f>IFERROR(VLOOKUP("At-218",$A$4:$R$32,16)/$B68,0)</f>
        <v>0</v>
      </c>
      <c r="Q68" s="66">
        <f>IFERROR(VLOOKUP("At-218",$A$4:$R$32,17)/$B68,0)</f>
        <v>0</v>
      </c>
      <c r="R68" s="90">
        <f t="shared" si="83"/>
        <v>0</v>
      </c>
    </row>
    <row r="69" spans="1:18">
      <c r="A69" s="31" t="s">
        <v>158</v>
      </c>
      <c r="B69" s="32">
        <v>1.9999999999999999E-7</v>
      </c>
      <c r="C69" s="65">
        <f>IFERROR(VLOOKUP("Rn-218",$A$4:$L$32,3)/$B69,0)</f>
        <v>11756968458.316139</v>
      </c>
      <c r="D69" s="66">
        <f>IFERROR(VLOOKUP("Rn-218",$A$4:$L$32,4)/$B69,0)</f>
        <v>16854221529.806067</v>
      </c>
      <c r="E69" s="66">
        <f>IFERROR(VLOOKUP("Rn-218",$A$4:$L$32,5)/$B69,0)</f>
        <v>12390737271.646015</v>
      </c>
      <c r="F69" s="66">
        <f>IFERROR(VLOOKUP("Rn-218",$A$4:$L$32,6)/$B69,0)</f>
        <v>11292190608.750484</v>
      </c>
      <c r="G69" s="66">
        <f>IFERROR(VLOOKUP("Rn-218",$A$4:$L$32,7)/$B69,0)</f>
        <v>14301360755.358089</v>
      </c>
      <c r="H69" s="65">
        <f>IFERROR(VLOOKUP("Rn-218",$A$4:$L$32,8)/$B69,0)</f>
        <v>435007832.95769757</v>
      </c>
      <c r="I69" s="66">
        <f>IFERROR(VLOOKUP("Rn-218",$A$4:$L$32,9)/$B69,0)</f>
        <v>623606196.60282516</v>
      </c>
      <c r="J69" s="66">
        <f>IFERROR(VLOOKUP("Rn-218",$A$4:$L$32,10)/$B69,0)</f>
        <v>458457279.05090302</v>
      </c>
      <c r="K69" s="66">
        <f>IFERROR(VLOOKUP("Rn-218",$A$4:$L$32,11)/$B69,0)</f>
        <v>417811052.52376837</v>
      </c>
      <c r="L69" s="66">
        <f>IFERROR(VLOOKUP("Rn-218",$A$4:$L$32,12)/$B69,0)</f>
        <v>529150347.94824988</v>
      </c>
      <c r="M69" s="65">
        <f>IFERROR(VLOOKUP("Rn-218",$A$4:$R$32,13)/$B69,0)</f>
        <v>35.882267734780854</v>
      </c>
      <c r="N69" s="66">
        <f>IFERROR(VLOOKUP("Rn-218",$A$4:$R$32,14)/$B69,0)</f>
        <v>5.1439084108968115E-2</v>
      </c>
      <c r="O69" s="66">
        <f>IFERROR(VLOOKUP("Rn-218",$A$4:$R$32,15)/$B69,0)</f>
        <v>37.816530153063638</v>
      </c>
      <c r="P69" s="66">
        <f>IFERROR(VLOOKUP("Rn-218",$A$4:$R$32,16)/$B69,0)</f>
        <v>34.463765737906478</v>
      </c>
      <c r="Q69" s="66">
        <f>IFERROR(VLOOKUP("Rn-218",$A$4:$R$32,17)/$B69,0)</f>
        <v>43.647753025352891</v>
      </c>
      <c r="R69" s="90">
        <f>IF(D69&lt;&gt;".",D69*2.22*100,".")</f>
        <v>3741637179616.9473</v>
      </c>
    </row>
    <row r="70" spans="1:18">
      <c r="A70" s="31" t="s">
        <v>155</v>
      </c>
      <c r="B70" s="32">
        <v>0.99980000000000002</v>
      </c>
      <c r="C70" s="65">
        <f>IFERROR(VLOOKUP("Pb-214",$A$4:$L$32,3)/$B70,0)</f>
        <v>3.3942625379348028</v>
      </c>
      <c r="D70" s="66">
        <f>IFERROR(VLOOKUP("Pb-214",$A$4:$L$32,4)/$B70,0)</f>
        <v>2.8383560457972865</v>
      </c>
      <c r="E70" s="66">
        <f>IFERROR(VLOOKUP("Pb-214",$A$4:$L$32,5)/$B70,0)</f>
        <v>2.7348620446770595</v>
      </c>
      <c r="F70" s="66">
        <f>IFERROR(VLOOKUP("Pb-214",$A$4:$L$32,6)/$B70,0)</f>
        <v>2.7699045031074623</v>
      </c>
      <c r="G70" s="66">
        <f>IFERROR(VLOOKUP("Pb-214",$A$4:$L$32,7)/$B70,0)</f>
        <v>3.2367688501928567</v>
      </c>
      <c r="H70" s="65">
        <f>IFERROR(VLOOKUP("Pb-214",$A$4:$L$32,8)/$B70,0)</f>
        <v>0.12558771390358783</v>
      </c>
      <c r="I70" s="66">
        <f>IFERROR(VLOOKUP("Pb-214",$A$4:$L$32,9)/$B70,0)</f>
        <v>0.1050191736944997</v>
      </c>
      <c r="J70" s="66">
        <f>IFERROR(VLOOKUP("Pb-214",$A$4:$L$32,10)/$B70,0)</f>
        <v>0.1011898956530513</v>
      </c>
      <c r="K70" s="66">
        <f>IFERROR(VLOOKUP("Pb-214",$A$4:$L$32,11)/$B70,0)</f>
        <v>0.10248646661497621</v>
      </c>
      <c r="L70" s="66">
        <f>IFERROR(VLOOKUP("Pb-214",$A$4:$L$32,12)/$B70,0)</f>
        <v>0.11976044745713582</v>
      </c>
      <c r="M70" s="65">
        <f>IFERROR(VLOOKUP("Pb-214",$A$4:$R$32,13)/$B70,0)</f>
        <v>1.0169210563652671E-8</v>
      </c>
      <c r="N70" s="66">
        <f>IFERROR(VLOOKUP("Pb-214",$A$4:$R$32,14)/$B70,0)</f>
        <v>8.5037147132086706E-12</v>
      </c>
      <c r="O70" s="66">
        <f>IFERROR(VLOOKUP("Pb-214",$A$4:$R$32,15)/$B70,0)</f>
        <v>8.1936466858524706E-9</v>
      </c>
      <c r="P70" s="66">
        <f>IFERROR(VLOOKUP("Pb-214",$A$4:$R$32,16)/$B70,0)</f>
        <v>8.2986338913099543E-9</v>
      </c>
      <c r="Q70" s="66">
        <f>IFERROR(VLOOKUP("Pb-214",$A$4:$R$32,17)/$B70,0)</f>
        <v>9.6973594751777983E-9</v>
      </c>
      <c r="R70" s="90">
        <f>IF(D70&lt;&gt;".",D70*2.22*100,".")</f>
        <v>630.11504216699768</v>
      </c>
    </row>
    <row r="71" spans="1:18">
      <c r="A71" s="31" t="s">
        <v>157</v>
      </c>
      <c r="B71" s="32">
        <v>0.99999979999999999</v>
      </c>
      <c r="C71" s="65">
        <f>IFERROR(VLOOKUP("Bi-214",$A$4:$L$32,3)/$B71,0)</f>
        <v>2.1674043730218906</v>
      </c>
      <c r="D71" s="66">
        <f>IFERROR(VLOOKUP("Bi-214",$A$4:$L$32,4)/$B71,0)</f>
        <v>3.1606627620388279</v>
      </c>
      <c r="E71" s="66">
        <f>IFERROR(VLOOKUP("Bi-214",$A$4:$L$32,5)/$B71,0)</f>
        <v>2.3868532074607454</v>
      </c>
      <c r="F71" s="66">
        <f>IFERROR(VLOOKUP("Bi-214",$A$4:$L$32,6)/$B71,0)</f>
        <v>2.2971844536541579</v>
      </c>
      <c r="G71" s="66">
        <f>IFERROR(VLOOKUP("Bi-214",$A$4:$L$32,7)/$B71,0)</f>
        <v>2.7433535065179977</v>
      </c>
      <c r="H71" s="65">
        <f>IFERROR(VLOOKUP("Bi-214",$A$4:$L$32,8)/$B71,0)</f>
        <v>8.0193961801810029E-2</v>
      </c>
      <c r="I71" s="66">
        <f>IFERROR(VLOOKUP("Bi-214",$A$4:$L$32,9)/$B71,0)</f>
        <v>0.11694452219543675</v>
      </c>
      <c r="J71" s="66">
        <f>IFERROR(VLOOKUP("Bi-214",$A$4:$L$32,10)/$B71,0)</f>
        <v>8.8313568676047657E-2</v>
      </c>
      <c r="K71" s="66">
        <f>IFERROR(VLOOKUP("Bi-214",$A$4:$L$32,11)/$B71,0)</f>
        <v>8.4995824785203927E-2</v>
      </c>
      <c r="L71" s="66">
        <f>IFERROR(VLOOKUP("Bi-214",$A$4:$L$32,12)/$B71,0)</f>
        <v>0.10150407974116601</v>
      </c>
      <c r="M71" s="65">
        <f>IFERROR(VLOOKUP("Bi-214",$A$4:$R$32,13)/$B71,0)</f>
        <v>6.4935435015735831E-9</v>
      </c>
      <c r="N71" s="66">
        <f>IFERROR(VLOOKUP("Bi-214",$A$4:$R$32,14)/$B71,0)</f>
        <v>9.4693456350683295E-12</v>
      </c>
      <c r="O71" s="66">
        <f>IFERROR(VLOOKUP("Bi-214",$A$4:$R$32,15)/$B71,0)</f>
        <v>7.1510122095523913E-9</v>
      </c>
      <c r="P71" s="66">
        <f>IFERROR(VLOOKUP("Bi-214",$A$4:$R$32,16)/$B71,0)</f>
        <v>6.8823646231478574E-9</v>
      </c>
      <c r="Q71" s="66">
        <f>IFERROR(VLOOKUP("Bi-214",$A$4:$R$32,17)/$B71,0)</f>
        <v>8.219087105527921E-9</v>
      </c>
      <c r="R71" s="90">
        <f t="shared" ref="R71:R75" si="86">IF(D71&lt;&gt;".",D71*2.22*100,".")</f>
        <v>701.66713317261986</v>
      </c>
    </row>
    <row r="72" spans="1:18">
      <c r="A72" s="31" t="s">
        <v>159</v>
      </c>
      <c r="B72" s="32">
        <v>0.99979000004200003</v>
      </c>
      <c r="C72" s="65">
        <f>IFERROR(VLOOKUP("Po-214",$A$4:$L$32,3)/$B72,0)</f>
        <v>25761.527082088553</v>
      </c>
      <c r="D72" s="66">
        <f>IFERROR(VLOOKUP("Po-214",$A$4:$L$32,4)/$B72,0)</f>
        <v>41498.927745141242</v>
      </c>
      <c r="E72" s="66">
        <f>IFERROR(VLOOKUP("Po-214",$A$4:$L$32,5)/$B72,0)</f>
        <v>29862.170828718623</v>
      </c>
      <c r="F72" s="66">
        <f>IFERROR(VLOOKUP("Po-214",$A$4:$L$32,6)/$B72,0)</f>
        <v>29115.561625225626</v>
      </c>
      <c r="G72" s="66">
        <f>IFERROR(VLOOKUP("Po-214",$A$4:$L$32,7)/$B72,0)</f>
        <v>33576.815567132791</v>
      </c>
      <c r="H72" s="65">
        <f>IFERROR(VLOOKUP("Po-214",$A$4:$L$32,8)/$B72,0)</f>
        <v>953.17650203727749</v>
      </c>
      <c r="I72" s="66">
        <f>IFERROR(VLOOKUP("Po-214",$A$4:$L$32,9)/$B72,0)</f>
        <v>1535.4603265702276</v>
      </c>
      <c r="J72" s="66">
        <f>IFERROR(VLOOKUP("Po-214",$A$4:$L$32,10)/$B72,0)</f>
        <v>1104.9003206625903</v>
      </c>
      <c r="K72" s="66">
        <f>IFERROR(VLOOKUP("Po-214",$A$4:$L$32,11)/$B72,0)</f>
        <v>1077.2757801333491</v>
      </c>
      <c r="L72" s="66">
        <f>IFERROR(VLOOKUP("Po-214",$A$4:$L$32,12)/$B72,0)</f>
        <v>1242.3421759839146</v>
      </c>
      <c r="M72" s="65">
        <f>IFERROR(VLOOKUP("Po-214",$A$4:$R$32,13)/$B72,0)</f>
        <v>7.7181535137937305E-5</v>
      </c>
      <c r="N72" s="66">
        <f>IFERROR(VLOOKUP("Po-214",$A$4:$R$32,14)/$B72,0)</f>
        <v>1.243307875244432E-7</v>
      </c>
      <c r="O72" s="66">
        <f>IFERROR(VLOOKUP("Po-214",$A$4:$R$32,15)/$B72,0)</f>
        <v>8.9467063802840983E-5</v>
      </c>
      <c r="P72" s="66">
        <f>IFERROR(VLOOKUP("Po-214",$A$4:$R$32,16)/$B72,0)</f>
        <v>8.7230222629175989E-5</v>
      </c>
      <c r="Q72" s="66">
        <f>IFERROR(VLOOKUP("Po-214",$A$4:$R$32,17)/$B72,0)</f>
        <v>1.0059613943912985E-4</v>
      </c>
      <c r="R72" s="90">
        <f t="shared" si="86"/>
        <v>9212761.9594213571</v>
      </c>
    </row>
    <row r="73" spans="1:18">
      <c r="A73" s="31" t="s">
        <v>160</v>
      </c>
      <c r="B73" s="32">
        <v>2.0999995799999999E-4</v>
      </c>
      <c r="C73" s="65">
        <f>IFERROR(VLOOKUP("Tl-210",$A$4:$L$32,3)/$B73,0)</f>
        <v>4290.8107546799365</v>
      </c>
      <c r="D73" s="66">
        <f>IFERROR(VLOOKUP("Tl-210",$A$4:$L$32,4)/$B73,0)</f>
        <v>5210.5262396409562</v>
      </c>
      <c r="E73" s="66">
        <f>IFERROR(VLOOKUP("Tl-210",$A$4:$L$32,5)/$B73,0)</f>
        <v>4374.4715129411079</v>
      </c>
      <c r="F73" s="66">
        <f>IFERROR(VLOOKUP("Tl-210",$A$4:$L$32,6)/$B73,0)</f>
        <v>4299.6709772191325</v>
      </c>
      <c r="G73" s="66">
        <f>IFERROR(VLOOKUP("Tl-210",$A$4:$L$32,7)/$B73,0)</f>
        <v>5028.4601851211482</v>
      </c>
      <c r="H73" s="65">
        <f>IFERROR(VLOOKUP("Tl-210",$A$4:$L$32,8)/$B73,0)</f>
        <v>158.75999792315781</v>
      </c>
      <c r="I73" s="66">
        <f>IFERROR(VLOOKUP("Tl-210",$A$4:$L$32,9)/$B73,0)</f>
        <v>192.78947086671559</v>
      </c>
      <c r="J73" s="66">
        <f>IFERROR(VLOOKUP("Tl-210",$A$4:$L$32,10)/$B73,0)</f>
        <v>161.85544597882117</v>
      </c>
      <c r="K73" s="66">
        <f>IFERROR(VLOOKUP("Tl-210",$A$4:$L$32,11)/$B73,0)</f>
        <v>159.08782615710808</v>
      </c>
      <c r="L73" s="66">
        <f>IFERROR(VLOOKUP("Tl-210",$A$4:$L$32,12)/$B73,0)</f>
        <v>186.05302684948268</v>
      </c>
      <c r="M73" s="65">
        <f>IFERROR(VLOOKUP("Tl-210",$A$4:$R$32,13)/$B73,0)</f>
        <v>1.261498361875901E-5</v>
      </c>
      <c r="N73" s="66">
        <f>IFERROR(VLOOKUP("Tl-210",$A$4:$R$32,14)/$B73,0)</f>
        <v>1.5318947144544412E-8</v>
      </c>
      <c r="O73" s="66">
        <f>IFERROR(VLOOKUP("Tl-210",$A$4:$R$32,15)/$B73,0)</f>
        <v>1.2860946248046858E-5</v>
      </c>
      <c r="P73" s="66">
        <f>IFERROR(VLOOKUP("Tl-210",$A$4:$R$32,16)/$B73,0)</f>
        <v>1.2641032673024249E-5</v>
      </c>
      <c r="Q73" s="66">
        <f>IFERROR(VLOOKUP("Tl-210",$A$4:$R$32,17)/$B73,0)</f>
        <v>1.4783672944256174E-5</v>
      </c>
      <c r="R73" s="90">
        <f t="shared" si="86"/>
        <v>1156736.8252002923</v>
      </c>
    </row>
    <row r="74" spans="1:18">
      <c r="A74" s="31" t="s">
        <v>161</v>
      </c>
      <c r="B74" s="32">
        <v>1</v>
      </c>
      <c r="C74" s="65">
        <f>IFERROR(VLOOKUP("Pb-210",$A$4:$L$32,3)/$B74,0)</f>
        <v>21.351505948955445</v>
      </c>
      <c r="D74" s="66">
        <f>IFERROR(VLOOKUP("Pb-210",$A$4:$L$32,4)/$B74,0)</f>
        <v>4.7051409522604022</v>
      </c>
      <c r="E74" s="66">
        <f>IFERROR(VLOOKUP("Pb-210",$A$4:$L$32,5)/$B74,0)</f>
        <v>9.6297466262533646</v>
      </c>
      <c r="F74" s="66">
        <f>IFERROR(VLOOKUP("Pb-210",$A$4:$L$32,6)/$B74,0)</f>
        <v>9.7364001528573159</v>
      </c>
      <c r="G74" s="66">
        <f>IFERROR(VLOOKUP("Pb-210",$A$4:$L$32,7)/$B74,0)</f>
        <v>10.360881752070746</v>
      </c>
      <c r="H74" s="65">
        <f>IFERROR(VLOOKUP("Pb-210",$A$4:$L$32,8)/$B74,0)</f>
        <v>0.79000572011135228</v>
      </c>
      <c r="I74" s="66">
        <f>IFERROR(VLOOKUP("Pb-210",$A$4:$L$32,9)/$B74,0)</f>
        <v>0.17409021523363505</v>
      </c>
      <c r="J74" s="66">
        <f>IFERROR(VLOOKUP("Pb-210",$A$4:$L$32,10)/$B74,0)</f>
        <v>0.35630062517137484</v>
      </c>
      <c r="K74" s="66">
        <f>IFERROR(VLOOKUP("Pb-210",$A$4:$L$32,11)/$B74,0)</f>
        <v>0.36024680565572104</v>
      </c>
      <c r="L74" s="66">
        <f>IFERROR(VLOOKUP("Pb-210",$A$4:$L$32,12)/$B74,0)</f>
        <v>0.38335262482661797</v>
      </c>
      <c r="M74" s="65">
        <f>IFERROR(VLOOKUP("Pb-210",$A$4:$R$32,13)/$B74,0)</f>
        <v>6.2773427489929008E-8</v>
      </c>
      <c r="N74" s="66">
        <f>IFERROR(VLOOKUP("Pb-210",$A$4:$R$32,14)/$B74,0)</f>
        <v>1.3833114399645583E-11</v>
      </c>
      <c r="O74" s="66">
        <f>IFERROR(VLOOKUP("Pb-210",$A$4:$R$32,15)/$B74,0)</f>
        <v>2.8311455081184893E-8</v>
      </c>
      <c r="P74" s="66">
        <f>IFERROR(VLOOKUP("Pb-210",$A$4:$R$32,16)/$B74,0)</f>
        <v>2.8625016449400505E-8</v>
      </c>
      <c r="Q74" s="66">
        <f>IFERROR(VLOOKUP("Pb-210",$A$4:$R$32,17)/$B74,0)</f>
        <v>3.0460992351087991E-8</v>
      </c>
      <c r="R74" s="90">
        <f t="shared" si="86"/>
        <v>1044.5412914018095</v>
      </c>
    </row>
    <row r="75" spans="1:18">
      <c r="A75" s="31" t="s">
        <v>162</v>
      </c>
      <c r="B75" s="32">
        <v>1</v>
      </c>
      <c r="C75" s="65">
        <f>IFERROR(VLOOKUP("Bi-210",$A$4:$L$32,3)/$B75,0)</f>
        <v>2550031.2816509944</v>
      </c>
      <c r="D75" s="66">
        <f>IFERROR(VLOOKUP("Bi-210",$A$4:$L$32,4)/$B75,0)</f>
        <v>2512332.3204800002</v>
      </c>
      <c r="E75" s="66">
        <f>IFERROR(VLOOKUP("Bi-210",$A$4:$L$32,5)/$B75,0)</f>
        <v>2159181.0792490621</v>
      </c>
      <c r="F75" s="66">
        <f>IFERROR(VLOOKUP("Bi-210",$A$4:$L$32,6)/$B75,0)</f>
        <v>2158126.1921277572</v>
      </c>
      <c r="G75" s="66">
        <f>IFERROR(VLOOKUP("Bi-210",$A$4:$L$32,7)/$B75,0)</f>
        <v>2547078.9422842553</v>
      </c>
      <c r="H75" s="65">
        <f>IFERROR(VLOOKUP("Bi-210",$A$4:$L$32,8)/$B75,0)</f>
        <v>94351.157421086886</v>
      </c>
      <c r="I75" s="66">
        <f>IFERROR(VLOOKUP("Bi-210",$A$4:$L$32,9)/$B75,0)</f>
        <v>92956.295857760109</v>
      </c>
      <c r="J75" s="66">
        <f>IFERROR(VLOOKUP("Bi-210",$A$4:$L$32,10)/$B75,0)</f>
        <v>79889.699932215386</v>
      </c>
      <c r="K75" s="66">
        <f>IFERROR(VLOOKUP("Bi-210",$A$4:$L$32,11)/$B75,0)</f>
        <v>79850.669108727103</v>
      </c>
      <c r="L75" s="66">
        <f>IFERROR(VLOOKUP("Bi-210",$A$4:$L$32,12)/$B75,0)</f>
        <v>94241.920864517539</v>
      </c>
      <c r="M75" s="65">
        <f>IFERROR(VLOOKUP("Bi-210",$A$4:$R$32,13)/$B75,0)</f>
        <v>7.4970919680539226E-3</v>
      </c>
      <c r="N75" s="66">
        <f>IFERROR(VLOOKUP("Bi-210",$A$4:$R$32,14)/$B75,0)</f>
        <v>7.386257022211201E-6</v>
      </c>
      <c r="O75" s="66">
        <f>IFERROR(VLOOKUP("Bi-210",$A$4:$R$32,15)/$B75,0)</f>
        <v>6.3479923729922415E-3</v>
      </c>
      <c r="P75" s="66">
        <f>IFERROR(VLOOKUP("Bi-210",$A$4:$R$32,16)/$B75,0)</f>
        <v>6.3448910048556056E-3</v>
      </c>
      <c r="Q75" s="66">
        <f>IFERROR(VLOOKUP("Bi-210",$A$4:$R$32,17)/$B75,0)</f>
        <v>7.4884120903157096E-3</v>
      </c>
      <c r="R75" s="90">
        <f t="shared" si="86"/>
        <v>557737775.14656007</v>
      </c>
    </row>
    <row r="76" spans="1:18">
      <c r="A76" s="31" t="s">
        <v>164</v>
      </c>
      <c r="B76" s="32">
        <v>1</v>
      </c>
      <c r="C76" s="65">
        <f>IFERROR(VLOOKUP("Po-210",$A$4:$L$32,3)/$B76,0)</f>
        <v>221526.71900752946</v>
      </c>
      <c r="D76" s="66">
        <f>IFERROR(VLOOKUP("Po-210",$A$4:$L$32,4)/$B76,0)</f>
        <v>356983.28427726222</v>
      </c>
      <c r="E76" s="66">
        <f>IFERROR(VLOOKUP("Po-210",$A$4:$L$32,5)/$B76,0)</f>
        <v>256905.84128799141</v>
      </c>
      <c r="F76" s="66">
        <f>IFERROR(VLOOKUP("Po-210",$A$4:$L$32,6)/$B76,0)</f>
        <v>250796.37987105895</v>
      </c>
      <c r="G76" s="66">
        <f>IFERROR(VLOOKUP("Po-210",$A$4:$L$32,7)/$B76,0)</f>
        <v>289037.77524255606</v>
      </c>
      <c r="H76" s="65">
        <f>IFERROR(VLOOKUP("Po-210",$A$4:$L$32,8)/$B76,0)</f>
        <v>8196.488603278598</v>
      </c>
      <c r="I76" s="66">
        <f>IFERROR(VLOOKUP("Po-210",$A$4:$L$32,9)/$B76,0)</f>
        <v>13208.381518258715</v>
      </c>
      <c r="J76" s="66">
        <f>IFERROR(VLOOKUP("Po-210",$A$4:$L$32,10)/$B76,0)</f>
        <v>9505.5161276556919</v>
      </c>
      <c r="K76" s="66">
        <f>IFERROR(VLOOKUP("Po-210",$A$4:$L$32,11)/$B76,0)</f>
        <v>9279.4660552291898</v>
      </c>
      <c r="L76" s="66">
        <f>IFERROR(VLOOKUP("Po-210",$A$4:$L$32,12)/$B76,0)</f>
        <v>10694.397683974585</v>
      </c>
      <c r="M76" s="65">
        <f>IFERROR(VLOOKUP("Po-210",$A$4:$R$32,13)/$B76,0)</f>
        <v>6.5128855388213653E-4</v>
      </c>
      <c r="N76" s="66">
        <f>IFERROR(VLOOKUP("Po-210",$A$4:$R$32,14)/$B76,0)</f>
        <v>1.0495308557751511E-6</v>
      </c>
      <c r="O76" s="66">
        <f>IFERROR(VLOOKUP("Po-210",$A$4:$R$32,15)/$B76,0)</f>
        <v>7.5530317338669479E-4</v>
      </c>
      <c r="P76" s="66">
        <f>IFERROR(VLOOKUP("Po-210",$A$4:$R$32,16)/$B76,0)</f>
        <v>7.3734135682091318E-4</v>
      </c>
      <c r="Q76" s="66">
        <f>IFERROR(VLOOKUP("Po-210",$A$4:$R$32,17)/$B76,0)</f>
        <v>8.497710592131147E-4</v>
      </c>
      <c r="R76" s="90">
        <f>IF(D76&lt;&gt;".",D76*2.22*100,".")</f>
        <v>79250289.10955222</v>
      </c>
    </row>
    <row r="77" spans="1:18">
      <c r="A77" s="31" t="s">
        <v>163</v>
      </c>
      <c r="B77" s="34">
        <v>1.9000000000000001E-8</v>
      </c>
      <c r="C77" s="65">
        <f>IFERROR(VLOOKUP("Hg-206",$A$4:$L$32,3)/$B77,0)</f>
        <v>388666414.71831822</v>
      </c>
      <c r="D77" s="66">
        <f>IFERROR(VLOOKUP("Hg-206",$A$4:$L$32,4)/$B77,0)</f>
        <v>360647863.2608484</v>
      </c>
      <c r="E77" s="66">
        <f>IFERROR(VLOOKUP("Hg-206",$A$4:$L$32,5)/$B77,0)</f>
        <v>317094179.39389831</v>
      </c>
      <c r="F77" s="66">
        <f>IFERROR(VLOOKUP("Hg-206",$A$4:$L$32,6)/$B77,0)</f>
        <v>320449843.94884729</v>
      </c>
      <c r="G77" s="66">
        <f>IFERROR(VLOOKUP("Hg-206",$A$4:$L$32,7)/$B77,0)</f>
        <v>379571498.80087131</v>
      </c>
      <c r="H77" s="65">
        <f>IFERROR(VLOOKUP("Hg-206",$A$4:$L$32,8)/$B77,0)</f>
        <v>14380657.344577791</v>
      </c>
      <c r="I77" s="66">
        <f>IFERROR(VLOOKUP("Hg-206",$A$4:$L$32,9)/$B77,0)</f>
        <v>13343970.940651404</v>
      </c>
      <c r="J77" s="66">
        <f>IFERROR(VLOOKUP("Hg-206",$A$4:$L$32,10)/$B77,0)</f>
        <v>11732484.63757425</v>
      </c>
      <c r="K77" s="66">
        <f>IFERROR(VLOOKUP("Hg-206",$A$4:$L$32,11)/$B77,0)</f>
        <v>11856644.226107361</v>
      </c>
      <c r="L77" s="66">
        <f>IFERROR(VLOOKUP("Hg-206",$A$4:$L$32,12)/$B77,0)</f>
        <v>14044145.455632253</v>
      </c>
      <c r="M77" s="65">
        <f>IFERROR(VLOOKUP("Hg-206",$A$4:$R$32,13)/$B77,0)</f>
        <v>1.1209139400476298</v>
      </c>
      <c r="N77" s="66">
        <f>IFERROR(VLOOKUP("Hg-206",$A$4:$R$32,14)/$B77,0)</f>
        <v>1.0401084376442868E-3</v>
      </c>
      <c r="O77" s="66">
        <f>IFERROR(VLOOKUP("Hg-206",$A$4:$R$32,15)/$B77,0)</f>
        <v>0.9144996133720027</v>
      </c>
      <c r="P77" s="66">
        <f>IFERROR(VLOOKUP("Hg-206",$A$4:$R$32,16)/$B77,0)</f>
        <v>0.92417734994847556</v>
      </c>
      <c r="Q77" s="66">
        <f>IFERROR(VLOOKUP("Hg-206",$A$4:$R$32,17)/$B77,0)</f>
        <v>1.0946842025417125</v>
      </c>
      <c r="R77" s="90">
        <f t="shared" ref="R77:R78" si="87">IF(D77&lt;&gt;".",D77*2.22*100,".")</f>
        <v>80063825643.908356</v>
      </c>
    </row>
    <row r="78" spans="1:18">
      <c r="A78" s="31" t="s">
        <v>165</v>
      </c>
      <c r="B78" s="32">
        <v>1.339E-6</v>
      </c>
      <c r="C78" s="65">
        <f>IFERROR(VLOOKUP("Tl-206",$A$4:$L$32,3)/$B78,0)</f>
        <v>3533439977.9744945</v>
      </c>
      <c r="D78" s="66">
        <f>IFERROR(VLOOKUP("Tl-206",$A$4:$L$32,4)/$B78,0)</f>
        <v>1568499934.6595252</v>
      </c>
      <c r="E78" s="66">
        <f>IFERROR(VLOOKUP("Tl-206",$A$4:$L$32,5)/$B78,0)</f>
        <v>1939050713.1047513</v>
      </c>
      <c r="F78" s="66">
        <f>IFERROR(VLOOKUP("Tl-206",$A$4:$L$32,6)/$B78,0)</f>
        <v>2447063597.6084442</v>
      </c>
      <c r="G78" s="66">
        <f>IFERROR(VLOOKUP("Tl-206",$A$4:$L$32,7)/$B78,0)</f>
        <v>2335720124.5948763</v>
      </c>
      <c r="H78" s="65">
        <f>IFERROR(VLOOKUP("Tl-206",$A$4:$L$32,8)/$B78,0)</f>
        <v>130737279.18505643</v>
      </c>
      <c r="I78" s="66">
        <f>IFERROR(VLOOKUP("Tl-206",$A$4:$L$32,9)/$B78,0)</f>
        <v>58034497.58240249</v>
      </c>
      <c r="J78" s="66">
        <f>IFERROR(VLOOKUP("Tl-206",$A$4:$L$32,10)/$B78,0)</f>
        <v>71744876.384875864</v>
      </c>
      <c r="K78" s="66">
        <f>IFERROR(VLOOKUP("Tl-206",$A$4:$L$32,11)/$B78,0)</f>
        <v>90541353.111512527</v>
      </c>
      <c r="L78" s="66">
        <f>IFERROR(VLOOKUP("Tl-206",$A$4:$L$32,12)/$B78,0)</f>
        <v>86421644.61001052</v>
      </c>
      <c r="M78" s="65">
        <f>IFERROR(VLOOKUP("Tl-206",$A$4:$R$32,13)/$B78,0)</f>
        <v>10.190440896478442</v>
      </c>
      <c r="N78" s="66">
        <f>IFERROR(VLOOKUP("Tl-206",$A$4:$R$32,14)/$B78,0)</f>
        <v>4.5235538115580712E-3</v>
      </c>
      <c r="O78" s="66">
        <f>IFERROR(VLOOKUP("Tl-206",$A$4:$R$32,15)/$B78,0)</f>
        <v>5.5922222565941029</v>
      </c>
      <c r="P78" s="66">
        <f>IFERROR(VLOOKUP("Tl-206",$A$4:$R$32,16)/$B78,0)</f>
        <v>7.0573314155027527</v>
      </c>
      <c r="Q78" s="66">
        <f>IFERROR(VLOOKUP("Tl-206",$A$4:$R$32,17)/$B78,0)</f>
        <v>6.7362168393316217</v>
      </c>
      <c r="R78" s="90">
        <f t="shared" si="87"/>
        <v>348206985494.41461</v>
      </c>
    </row>
  </sheetData>
  <sheetProtection algorithmName="SHA-512" hashValue="6cWQc5JKcFJMvoxyGrB+iqBbPvd5C5wghldili6UociYQ0Gb8fC1h+z6RxzFTHEHz5QBipuLFQ0yAtLlCJ2YrQ==" saltValue="PsqgE5QYnzb74MK4Hn+9uQ==" spinCount="100000" sheet="1" formatCells="0" formatColumns="0" formatRows="0" insertColumns="0" insertRows="0" autoFilter="0"/>
  <autoFilter ref="A2:R78" xr:uid="{00000000-0001-0000-0D00-000000000000}"/>
  <mergeCells count="3">
    <mergeCell ref="C1:G1"/>
    <mergeCell ref="H1:L1"/>
    <mergeCell ref="M1:Q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499984740745262"/>
  </sheetPr>
  <dimension ref="A1:L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3.7109375" style="22" bestFit="1" customWidth="1"/>
    <col min="4" max="4" width="13.85546875" style="22" bestFit="1" customWidth="1"/>
    <col min="5" max="5" width="13.42578125" style="22" bestFit="1" customWidth="1"/>
    <col min="6" max="6" width="13.7109375" style="22" bestFit="1" customWidth="1"/>
    <col min="7" max="7" width="13.85546875" style="22" bestFit="1" customWidth="1"/>
    <col min="8" max="8" width="13.42578125" style="22" bestFit="1" customWidth="1"/>
    <col min="9" max="9" width="13.7109375" style="22" bestFit="1" customWidth="1"/>
    <col min="10" max="10" width="13.85546875" style="22" bestFit="1" customWidth="1"/>
    <col min="11" max="11" width="13.42578125" style="22" bestFit="1" customWidth="1"/>
    <col min="12" max="12" width="13.42578125" bestFit="1" customWidth="1"/>
  </cols>
  <sheetData>
    <row r="1" spans="1:12" ht="13.5" thickBot="1">
      <c r="C1" s="140" t="s">
        <v>51</v>
      </c>
      <c r="D1" s="141"/>
      <c r="E1" s="141"/>
      <c r="F1" s="140" t="s">
        <v>100</v>
      </c>
      <c r="G1" s="141"/>
      <c r="H1" s="141"/>
      <c r="I1" s="140" t="s">
        <v>101</v>
      </c>
      <c r="J1" s="141"/>
      <c r="K1" s="141"/>
      <c r="L1" s="60" t="s">
        <v>206</v>
      </c>
    </row>
    <row r="2" spans="1:12">
      <c r="A2" s="11" t="s">
        <v>0</v>
      </c>
      <c r="B2" s="11" t="s">
        <v>43</v>
      </c>
      <c r="C2" s="35" t="s">
        <v>121</v>
      </c>
      <c r="D2" s="36" t="s">
        <v>122</v>
      </c>
      <c r="E2" s="38" t="s">
        <v>123</v>
      </c>
      <c r="F2" s="35" t="s">
        <v>121</v>
      </c>
      <c r="G2" s="36" t="s">
        <v>122</v>
      </c>
      <c r="H2" s="36" t="s">
        <v>123</v>
      </c>
      <c r="I2" s="35" t="s">
        <v>121</v>
      </c>
      <c r="J2" s="36" t="s">
        <v>122</v>
      </c>
      <c r="K2" s="37" t="s">
        <v>123</v>
      </c>
      <c r="L2" s="61" t="s">
        <v>123</v>
      </c>
    </row>
    <row r="3" spans="1:12" ht="13.5" thickBot="1">
      <c r="B3" s="26" t="s">
        <v>44</v>
      </c>
      <c r="C3" s="27" t="s">
        <v>102</v>
      </c>
      <c r="D3" s="28" t="s">
        <v>102</v>
      </c>
      <c r="E3" s="39" t="s">
        <v>102</v>
      </c>
      <c r="F3" s="27" t="s">
        <v>103</v>
      </c>
      <c r="G3" s="28" t="s">
        <v>103</v>
      </c>
      <c r="H3" s="28" t="s">
        <v>103</v>
      </c>
      <c r="I3" s="27" t="s">
        <v>104</v>
      </c>
      <c r="J3" s="28" t="s">
        <v>104</v>
      </c>
      <c r="K3" s="29" t="s">
        <v>104</v>
      </c>
      <c r="L3" s="74" t="s">
        <v>207</v>
      </c>
    </row>
    <row r="4" spans="1:12">
      <c r="A4" s="82" t="s">
        <v>23</v>
      </c>
      <c r="B4" s="12" t="s">
        <v>50</v>
      </c>
      <c r="C4" s="2">
        <f>IFERROR((s_DL)/(k_decay_iw*Doses!C2*s_IRDiw*s_Fin*s_Fi),".")</f>
        <v>1.2002333329571657E-5</v>
      </c>
      <c r="D4" s="3">
        <f>IFERROR((s_DL)/(k_decay_iw*Doses!L2*s_Fin*s_Fi*s_Fam*s_Foff*s_ETiw*(1/24)*s_EFiw*(1/365)*Isospec!R3),".")</f>
        <v>4.5584537598325863</v>
      </c>
      <c r="E4" s="3">
        <f t="shared" ref="E4" si="0">IFERROR(IF(AND(ISNUMBER(C4),ISNUMBER(D4)),(1/((1/C4)+(1/D4))),IF(AND(ISNUMBER(C4),NOT(ISNUMBER(D4))),(1/(1/C4)),IF(AND(NOT(ISNUMBER(C4)),ISNUMBER(D4)),(1/(1/D4)),"."))),".")</f>
        <v>1.2002301727709786E-5</v>
      </c>
      <c r="F4" s="2">
        <f t="shared" ref="F4:F5" si="1">IFERROR(C4/s_1_bq,".")</f>
        <v>4.4408633319415174E-7</v>
      </c>
      <c r="G4" s="3">
        <f t="shared" ref="G4:G5" si="2">IFERROR(D4/s_1_bq,".")</f>
        <v>0.16866278911380586</v>
      </c>
      <c r="H4" s="5">
        <f t="shared" ref="H4:H5" si="3">IFERROR(E4/s_1_bq,".")</f>
        <v>4.4408516392526251E-7</v>
      </c>
      <c r="I4" s="2">
        <f>IFERROR(C4*Isospec!C3*Isospec!F3*s_SSLcm_m,".")</f>
        <v>3.7807349988150725E-17</v>
      </c>
      <c r="J4" s="3">
        <f>IFERROR(D4*Isospec!C3*Isospec!F3*s_SSLcm_m,".")</f>
        <v>1.4359129343472649E-11</v>
      </c>
      <c r="K4" s="5">
        <f>IFERROR(E4*Isospec!C3*Isospec!F3*s_SSLcm_m,".")</f>
        <v>3.7807250442285825E-17</v>
      </c>
      <c r="L4" s="62">
        <f>IF(E4&lt;&gt;".",E4*2.22*100,".")</f>
        <v>2.6645109835515728E-3</v>
      </c>
    </row>
    <row r="5" spans="1:12">
      <c r="A5" s="83" t="s">
        <v>14</v>
      </c>
      <c r="B5" s="12" t="s">
        <v>44</v>
      </c>
      <c r="C5" s="2">
        <f>IFERROR((s_DL)/(k_decay_iw*Doses!C3*s_IRDiw*s_Fin*s_Fi),".")</f>
        <v>1.2002333329571657E-5</v>
      </c>
      <c r="D5" s="3">
        <f>IFERROR((s_DL)/(k_decay_iw*Doses!L3*s_Fin*s_Fi*s_Fam*s_Foff*s_ETiw*(1/24)*s_EFiw*(1/365)*Isospec!R4),".")</f>
        <v>4.9998850527808019</v>
      </c>
      <c r="E5" s="3">
        <f>IFERROR(IF(AND(ISNUMBER(C5),ISNUMBER(D5)),(1/((1/C5)+(1/D5))),IF(AND(ISNUMBER(C5),NOT(ISNUMBER(D5))),(1/(1/C5)),IF(AND(NOT(ISNUMBER(C5)),ISNUMBER(D5)),(1/(1/D5)),"."))),".")</f>
        <v>1.2002304517777379E-5</v>
      </c>
      <c r="F5" s="2">
        <f t="shared" si="1"/>
        <v>4.4408633319415174E-7</v>
      </c>
      <c r="G5" s="3">
        <f t="shared" si="2"/>
        <v>0.18499574695288987</v>
      </c>
      <c r="H5" s="5">
        <f t="shared" si="3"/>
        <v>4.4408526715776347E-7</v>
      </c>
      <c r="I5" s="2">
        <f>IFERROR(C5*Isospec!C4*Isospec!F4*s_SSLcm_m,".")</f>
        <v>4.0495872653974773E-17</v>
      </c>
      <c r="J5" s="3">
        <f>IFERROR(D5*Isospec!C4*Isospec!F4*s_SSLcm_m,".")</f>
        <v>1.6869612168082426E-11</v>
      </c>
      <c r="K5" s="5">
        <f>IFERROR(E5*Isospec!C4*Isospec!F4*s_SSLcm_m,".")</f>
        <v>4.049577544298088E-17</v>
      </c>
      <c r="L5" s="62">
        <f>IF(E5&lt;&gt;".",E5*2.22*100,".")</f>
        <v>2.6645116029465781E-3</v>
      </c>
    </row>
    <row r="6" spans="1:12">
      <c r="A6" s="82" t="s">
        <v>15</v>
      </c>
      <c r="B6" s="12" t="s">
        <v>50</v>
      </c>
      <c r="C6" s="2">
        <f>IFERROR((s_DL)/(k_decay_iw*Doses!C4*s_IRDiw*s_Fin*s_Fi),".")</f>
        <v>1.2002333329571657E-5</v>
      </c>
      <c r="D6" s="3">
        <f>IFERROR((s_DL)/(k_decay_iw*Doses!L4*s_Fin*s_Fi*s_Fam*s_Foff*s_ETiw*(1/24)*s_EFiw*(1/365)*Isospec!R5),".")</f>
        <v>9.1664559300981345</v>
      </c>
      <c r="E6" s="3">
        <f t="shared" ref="E6:E7" si="4">IFERROR(IF(AND(ISNUMBER(C6),ISNUMBER(D6)),(1/((1/C6)+(1/D6))),IF(AND(ISNUMBER(C6),NOT(ISNUMBER(D6))),(1/(1/C6)),IF(AND(NOT(ISNUMBER(C6)),ISNUMBER(D6)),(1/(1/D6)),"."))),".")</f>
        <v>1.2002317614030357E-5</v>
      </c>
      <c r="F6" s="2">
        <f t="shared" ref="F6:F8" si="5">IFERROR(C6/s_1_bq,".")</f>
        <v>4.4408633319415174E-7</v>
      </c>
      <c r="G6" s="3">
        <f t="shared" ref="G6:G8" si="6">IFERROR(D6/s_1_bq,".")</f>
        <v>0.33915886941363133</v>
      </c>
      <c r="H6" s="5">
        <f t="shared" ref="H6:H8" si="7">IFERROR(E6/s_1_bq,".")</f>
        <v>4.4408575171912366E-7</v>
      </c>
      <c r="I6" s="2">
        <f>IFERROR(C6*Isospec!C5*Isospec!F5*s_SSLcm_m,".")</f>
        <v>3.6463088655238697E-17</v>
      </c>
      <c r="J6" s="3">
        <f>IFERROR(D6*Isospec!C5*Isospec!F5*s_SSLcm_m,".")</f>
        <v>2.7847693115638136E-11</v>
      </c>
      <c r="K6" s="5">
        <f>IFERROR(E6*Isospec!C5*Isospec!F5*s_SSLcm_m,".")</f>
        <v>3.6463040911424227E-17</v>
      </c>
      <c r="L6" s="62">
        <f t="shared" ref="L6:L7" si="8">IF(E6&lt;&gt;".",E6*2.22*100,".")</f>
        <v>2.6645145103147395E-3</v>
      </c>
    </row>
    <row r="7" spans="1:12">
      <c r="A7" s="82" t="s">
        <v>16</v>
      </c>
      <c r="B7" s="84" t="s">
        <v>50</v>
      </c>
      <c r="C7" s="2">
        <f>IFERROR((s_DL)/(k_decay_iw*Doses!C5*s_IRDiw*s_Fin*s_Fi),".")</f>
        <v>1.2002333329571657E-5</v>
      </c>
      <c r="D7" s="3">
        <f>IFERROR((s_DL)/(k_decay_iw*Doses!L5*s_Fin*s_Fi*s_Fam*s_Foff*s_ETiw*(1/24)*s_EFiw*(1/365)*Isospec!R6),".")</f>
        <v>2.8110464852300954</v>
      </c>
      <c r="E7" s="3">
        <f t="shared" si="4"/>
        <v>1.2002282083393041E-5</v>
      </c>
      <c r="F7" s="2">
        <f t="shared" si="5"/>
        <v>4.4408633319415174E-7</v>
      </c>
      <c r="G7" s="3">
        <f t="shared" si="6"/>
        <v>0.10400871995351363</v>
      </c>
      <c r="H7" s="5">
        <f t="shared" si="7"/>
        <v>4.4408443708554296E-7</v>
      </c>
      <c r="I7" s="2">
        <f>IFERROR(C7*Isospec!C6*Isospec!F6*s_SSLcm_m,".")</f>
        <v>3.6631121321852698E-17</v>
      </c>
      <c r="J7" s="3">
        <f>IFERROR(D7*Isospec!C6*Isospec!F6*s_SSLcm_m,".")</f>
        <v>8.5793138729222515E-12</v>
      </c>
      <c r="K7" s="5">
        <f>IFERROR(E7*Isospec!C6*Isospec!F6*s_SSLcm_m,".")</f>
        <v>3.6630964918515564E-17</v>
      </c>
      <c r="L7" s="62">
        <f t="shared" si="8"/>
        <v>2.664506622513255E-3</v>
      </c>
    </row>
    <row r="8" spans="1:12">
      <c r="A8" s="82" t="s">
        <v>18</v>
      </c>
      <c r="B8" s="12" t="s">
        <v>50</v>
      </c>
      <c r="C8" s="2">
        <f>IFERROR((s_DL)/(k_decay_iw*Doses!C6*s_IRDiw*s_Fin*s_Fi),".")</f>
        <v>1.2002333329571657E-5</v>
      </c>
      <c r="D8" s="3">
        <f>IFERROR((s_DL)/(k_decay_iw*Doses!L6*s_Fin*s_Fi*s_Fam*s_Foff*s_ETiw*(1/24)*s_EFiw*(1/365)*Isospec!R7),".")</f>
        <v>11.345030657879308</v>
      </c>
      <c r="E8" s="3">
        <f t="shared" ref="E8:E11" si="9">IFERROR(IF(AND(ISNUMBER(C8),ISNUMBER(D8)),(1/((1/C8)+(1/D8))),IF(AND(ISNUMBER(C8),NOT(ISNUMBER(D8))),(1/(1/C8)),IF(AND(NOT(ISNUMBER(C8)),ISNUMBER(D8)),(1/(1/D8)),"."))),".")</f>
        <v>1.2002320631866616E-5</v>
      </c>
      <c r="F8" s="2">
        <f t="shared" si="5"/>
        <v>4.4408633319415174E-7</v>
      </c>
      <c r="G8" s="3">
        <f t="shared" si="6"/>
        <v>0.41976613434153481</v>
      </c>
      <c r="H8" s="5">
        <f t="shared" si="7"/>
        <v>4.4408586337906522E-7</v>
      </c>
      <c r="I8" s="2">
        <f>IFERROR(C8*Isospec!C7*Isospec!F7*s_SSLcm_m,".")</f>
        <v>2.3020475326118442E-17</v>
      </c>
      <c r="J8" s="3">
        <f>IFERROR(D8*Isospec!C7*Isospec!F7*s_SSLcm_m,".")</f>
        <v>2.1759768801812514E-11</v>
      </c>
      <c r="K8" s="5">
        <f>IFERROR(E8*Isospec!C7*Isospec!F7*s_SSLcm_m,".")</f>
        <v>2.3020450971920169E-17</v>
      </c>
      <c r="L8" s="62">
        <f>IF(E8&lt;&gt;".",E8*2.22*100,".")</f>
        <v>2.6645151802743888E-3</v>
      </c>
    </row>
    <row r="9" spans="1:12">
      <c r="A9" s="82" t="s">
        <v>19</v>
      </c>
      <c r="B9" s="85" t="s">
        <v>50</v>
      </c>
      <c r="C9" s="2">
        <f>IFERROR((s_DL)/(k_decay_iw*Doses!C7*s_IRDiw*s_Fin*s_Fi),".")</f>
        <v>1.2002333329571657E-5</v>
      </c>
      <c r="D9" s="3">
        <f>IFERROR((s_DL)/(k_decay_iw*Doses!L7*s_Fin*s_Fi*s_Fam*s_Foff*s_ETiw*(1/24)*s_EFiw*(1/365)*Isospec!R8),".")</f>
        <v>9.805976111267773</v>
      </c>
      <c r="E9" s="3">
        <f t="shared" si="9"/>
        <v>1.200231863895571E-5</v>
      </c>
      <c r="F9" s="2">
        <f t="shared" ref="F9:F11" si="10">IFERROR(C9/s_1_bq,".")</f>
        <v>4.4408633319415174E-7</v>
      </c>
      <c r="G9" s="3">
        <f t="shared" ref="G9:G11" si="11">IFERROR(D9/s_1_bq,".")</f>
        <v>0.36282111611690798</v>
      </c>
      <c r="H9" s="5">
        <f t="shared" ref="H9:H11" si="12">IFERROR(E9/s_1_bq,".")</f>
        <v>4.4408578964136173E-7</v>
      </c>
      <c r="I9" s="2">
        <f>IFERROR(C9*Isospec!C8*Isospec!F8*s_SSLcm_m,".")</f>
        <v>3.5286859988940676E-17</v>
      </c>
      <c r="J9" s="3">
        <f>IFERROR(D9*Isospec!C8*Isospec!F8*s_SSLcm_m,".")</f>
        <v>2.8829569767127254E-11</v>
      </c>
      <c r="K9" s="5">
        <f>IFERROR(E9*Isospec!C8*Isospec!F8*s_SSLcm_m,".")</f>
        <v>3.5286816798529792E-17</v>
      </c>
      <c r="L9" s="62">
        <f>IF(E9&lt;&gt;".",E9*2.22*100,".")</f>
        <v>2.6645147378481678E-3</v>
      </c>
    </row>
    <row r="10" spans="1:12">
      <c r="A10" s="82" t="s">
        <v>20</v>
      </c>
      <c r="B10" s="12" t="s">
        <v>50</v>
      </c>
      <c r="C10" s="2">
        <f>IFERROR((s_DL)/(k_decay_iw*Doses!C8*s_IRDiw*s_Fin*s_Fi),".")</f>
        <v>1.2002333329571657E-5</v>
      </c>
      <c r="D10" s="3">
        <f>IFERROR((s_DL)/(k_decay_iw*Doses!L8*s_Fin*s_Fi*s_Fam*s_Foff*s_ETiw*(1/24)*s_EFiw*(1/365)*Isospec!R9),".")</f>
        <v>10.765709943434407</v>
      </c>
      <c r="E10" s="3">
        <f t="shared" si="9"/>
        <v>1.2002319948582803E-5</v>
      </c>
      <c r="F10" s="2">
        <f t="shared" si="10"/>
        <v>4.4408633319415174E-7</v>
      </c>
      <c r="G10" s="3">
        <f t="shared" si="11"/>
        <v>0.39833126790707346</v>
      </c>
      <c r="H10" s="5">
        <f t="shared" si="12"/>
        <v>4.4408583809756416E-7</v>
      </c>
      <c r="I10" s="2">
        <f>IFERROR(C10*Isospec!C9*Isospec!F9*s_SSLcm_m,".")</f>
        <v>3.5790957988782684E-17</v>
      </c>
      <c r="J10" s="3">
        <f>IFERROR(D10*Isospec!C9*Isospec!F9*s_SSLcm_m,".")</f>
        <v>3.2103347051321404E-11</v>
      </c>
      <c r="K10" s="5">
        <f>IFERROR(E10*Isospec!C9*Isospec!F9*s_SSLcm_m,".")</f>
        <v>3.579091808667392E-17</v>
      </c>
      <c r="L10" s="62">
        <f t="shared" ref="L10:L11" si="13">IF(E10&lt;&gt;".",E10*2.22*100,".")</f>
        <v>2.6645150285853824E-3</v>
      </c>
    </row>
    <row r="11" spans="1:12">
      <c r="A11" s="82" t="s">
        <v>21</v>
      </c>
      <c r="B11" s="85" t="s">
        <v>50</v>
      </c>
      <c r="C11" s="2">
        <f>IFERROR((s_DL)/(k_decay_iw*Doses!C9*s_IRDiw*s_Fin*s_Fi),".")</f>
        <v>1.2002333329571657E-5</v>
      </c>
      <c r="D11" s="3">
        <f>IFERROR((s_DL)/(k_decay_iw*Doses!L9*s_Fin*s_Fi*s_Fam*s_Foff*s_ETiw*(1/24)*s_EFiw*(1/365)*Isospec!R10),".")</f>
        <v>11.933687908995688</v>
      </c>
      <c r="E11" s="3">
        <f t="shared" si="9"/>
        <v>1.2002321258210182E-5</v>
      </c>
      <c r="F11" s="2">
        <f t="shared" si="10"/>
        <v>4.4408633319415174E-7</v>
      </c>
      <c r="G11" s="3">
        <f t="shared" si="11"/>
        <v>0.44154645263284092</v>
      </c>
      <c r="H11" s="5">
        <f t="shared" si="12"/>
        <v>4.4408588655377718E-7</v>
      </c>
      <c r="I11" s="2">
        <f>IFERROR(C11*Isospec!C10*Isospec!F10*s_SSLcm_m,".")</f>
        <v>3.5958990655396684E-17</v>
      </c>
      <c r="J11" s="3">
        <f>IFERROR(D11*Isospec!C10*Isospec!F10*s_SSLcm_m,".")</f>
        <v>3.5753328975351086E-11</v>
      </c>
      <c r="K11" s="5">
        <f>IFERROR(E11*Isospec!C10*Isospec!F10*s_SSLcm_m,".")</f>
        <v>3.5958954489597707E-17</v>
      </c>
      <c r="L11" s="62">
        <f t="shared" si="13"/>
        <v>2.6645153193226609E-3</v>
      </c>
    </row>
    <row r="12" spans="1:12">
      <c r="A12" s="83" t="s">
        <v>17</v>
      </c>
      <c r="B12" s="12" t="s">
        <v>44</v>
      </c>
      <c r="C12" s="2">
        <f>IFERROR((s_DL)/(k_decay_iw*Doses!C10*s_IRDiw*s_Fin*s_Fi),".")</f>
        <v>1.2002333329571657E-5</v>
      </c>
      <c r="D12" s="3">
        <f>IFERROR((s_DL)/(k_decay_iw*Doses!L10*s_Fin*s_Fi*s_Fam*s_Foff*s_ETiw*(1/24)*s_EFiw*(1/365)*Isospec!R11),".")</f>
        <v>10.720092528419856</v>
      </c>
      <c r="E12" s="3">
        <f t="shared" ref="E12" si="14">IFERROR(IF(AND(ISNUMBER(C12),ISNUMBER(D12)),(1/((1/C12)+(1/D12))),IF(AND(ISNUMBER(C12),NOT(ISNUMBER(D12))),(1/(1/C12)),IF(AND(NOT(ISNUMBER(C12)),ISNUMBER(D12)),(1/(1/D12)),"."))),".")</f>
        <v>1.2002319891642489E-5</v>
      </c>
      <c r="F12" s="2">
        <f t="shared" ref="F12" si="15">IFERROR(C12/s_1_bq,".")</f>
        <v>4.4408633319415174E-7</v>
      </c>
      <c r="G12" s="3">
        <f t="shared" ref="G12" si="16">IFERROR(D12/s_1_bq,".")</f>
        <v>0.39664342355153509</v>
      </c>
      <c r="H12" s="5">
        <f t="shared" ref="H12" si="17">IFERROR(E12/s_1_bq,".")</f>
        <v>4.4408583599077251E-7</v>
      </c>
      <c r="I12" s="2">
        <f>IFERROR(C12*Isospec!C11*Isospec!F11*s_SSLcm_m,".")</f>
        <v>2.3020475326118442E-17</v>
      </c>
      <c r="J12" s="3">
        <f>IFERROR(D12*Isospec!C11*Isospec!F11*s_SSLcm_m,".")</f>
        <v>2.0561137469509284E-11</v>
      </c>
      <c r="K12" s="5">
        <f>IFERROR(E12*Isospec!C11*Isospec!F11*s_SSLcm_m,".")</f>
        <v>2.3020449552170297E-17</v>
      </c>
      <c r="L12" s="62">
        <f t="shared" ref="L12" si="18">IF(E12&lt;&gt;".",E12*2.22*100,".")</f>
        <v>2.6645150159446324E-3</v>
      </c>
    </row>
    <row r="13" spans="1:12">
      <c r="A13" s="82" t="s">
        <v>24</v>
      </c>
      <c r="B13" s="12" t="s">
        <v>50</v>
      </c>
      <c r="C13" s="2">
        <f>IFERROR((s_DL)/(k_decay_iw*Doses!C11*s_IRDiw*s_Fin*s_Fi),".")</f>
        <v>1.2002333329571657E-5</v>
      </c>
      <c r="D13" s="3">
        <f>IFERROR((s_DL)/(k_decay_iw*Doses!L11*s_Fin*s_Fi*s_Fam*s_Foff*s_ETiw*(1/24)*s_EFiw*(1/365)*Isospec!R12),".")</f>
        <v>8.6641843722845397</v>
      </c>
      <c r="E13" s="3">
        <f t="shared" ref="E13" si="19">IFERROR(IF(AND(ISNUMBER(C13),ISNUMBER(D13)),(1/((1/C13)+(1/D13))),IF(AND(ISNUMBER(C13),NOT(ISNUMBER(D13))),(1/(1/C13)),IF(AND(NOT(ISNUMBER(C13)),ISNUMBER(D13)),(1/(1/D13)),"."))),".")</f>
        <v>1.2002316702985747E-5</v>
      </c>
      <c r="F13" s="2">
        <f t="shared" ref="F13" si="20">IFERROR(C13/s_1_bq,".")</f>
        <v>4.4408633319415174E-7</v>
      </c>
      <c r="G13" s="3">
        <f t="shared" ref="G13" si="21">IFERROR(D13/s_1_bq,".")</f>
        <v>0.32057482177452828</v>
      </c>
      <c r="H13" s="5">
        <f t="shared" ref="H13" si="22">IFERROR(E13/s_1_bq,".")</f>
        <v>4.4408571801047312E-7</v>
      </c>
      <c r="I13" s="2">
        <f>IFERROR(C13*Isospec!C12*Isospec!F12*s_SSLcm_m,".")</f>
        <v>3.7135219321694711E-17</v>
      </c>
      <c r="J13" s="3">
        <f>IFERROR(D13*Isospec!C12*Isospec!F12*s_SSLcm_m,".")</f>
        <v>2.6806986447848367E-11</v>
      </c>
      <c r="K13" s="5">
        <f>IFERROR(E13*Isospec!C12*Isospec!F12*s_SSLcm_m,".")</f>
        <v>3.7135167879037902E-17</v>
      </c>
      <c r="L13" s="62">
        <f t="shared" ref="L13" si="23">IF(E13&lt;&gt;".",E13*2.22*100,".")</f>
        <v>2.6645143080628363E-3</v>
      </c>
    </row>
    <row r="14" spans="1:12">
      <c r="A14" s="82" t="s">
        <v>22</v>
      </c>
      <c r="B14" s="84" t="s">
        <v>50</v>
      </c>
      <c r="C14" s="2">
        <f>IFERROR((s_DL)/(k_decay_iw*Doses!C12*s_IRDiw*s_Fin*s_Fi),".")</f>
        <v>1.2002333329571657E-5</v>
      </c>
      <c r="D14" s="3">
        <f>IFERROR((s_DL)/(k_decay_iw*Doses!L12*s_Fin*s_Fi*s_Fam*s_Foff*s_ETiw*(1/24)*s_EFiw*(1/365)*Isospec!R13),".")</f>
        <v>9.8825852996370536</v>
      </c>
      <c r="E14" s="3">
        <f t="shared" ref="E14" si="24">IFERROR(IF(AND(ISNUMBER(C14),ISNUMBER(D14)),(1/((1/C14)+(1/D14))),IF(AND(ISNUMBER(C14),NOT(ISNUMBER(D14))),(1/(1/C14)),IF(AND(NOT(ISNUMBER(C14)),ISNUMBER(D14)),(1/(1/D14)),"."))),".")</f>
        <v>1.2002318752836315E-5</v>
      </c>
      <c r="F14" s="2">
        <f t="shared" ref="F14" si="25">IFERROR(C14/s_1_bq,".")</f>
        <v>4.4408633319415174E-7</v>
      </c>
      <c r="G14" s="3">
        <f t="shared" ref="G14" si="26">IFERROR(D14/s_1_bq,".")</f>
        <v>0.36565565608657136</v>
      </c>
      <c r="H14" s="5">
        <f t="shared" ref="H14" si="27">IFERROR(E14/s_1_bq,".")</f>
        <v>4.4408579385494412E-7</v>
      </c>
      <c r="I14" s="2">
        <f>IFERROR(C14*Isospec!C13*Isospec!F13*s_SSLcm_m,".")</f>
        <v>3.4614729322484663E-17</v>
      </c>
      <c r="J14" s="3">
        <f>IFERROR(D14*Isospec!C13*Isospec!F13*s_SSLcm_m,".")</f>
        <v>2.8501376004153269E-11</v>
      </c>
      <c r="K14" s="5">
        <f>IFERROR(E14*Isospec!C13*Isospec!F13*s_SSLcm_m,".")</f>
        <v>3.4614687283179932E-17</v>
      </c>
      <c r="L14" s="62">
        <f t="shared" ref="L14" si="28">IF(E14&lt;&gt;".",E14*2.22*100,".")</f>
        <v>2.6645147631296621E-3</v>
      </c>
    </row>
    <row r="15" spans="1:12">
      <c r="A15" s="82" t="s">
        <v>28</v>
      </c>
      <c r="B15" s="12" t="s">
        <v>50</v>
      </c>
      <c r="C15" s="2">
        <f>IFERROR((s_DL)/(k_decay_iw*Doses!C13*s_IRDiw*s_Fin*s_Fi),".")</f>
        <v>1.2002333329571657E-5</v>
      </c>
      <c r="D15" s="3">
        <f>IFERROR((s_DL)/(k_decay_iw*Doses!L13*s_Fin*s_Fi*s_Fam*s_Foff*s_ETiw*(1/24)*s_EFiw*(1/365)*Isospec!R14),".")</f>
        <v>4.6764174430814887</v>
      </c>
      <c r="E15" s="3">
        <f t="shared" ref="E15:E16" si="29">IFERROR(IF(AND(ISNUMBER(C15),ISNUMBER(D15)),(1/((1/C15)+(1/D15))),IF(AND(ISNUMBER(C15),NOT(ISNUMBER(D15))),(1/(1/C15)),IF(AND(NOT(ISNUMBER(C15)),ISNUMBER(D15)),(1/(1/D15)),"."))),".")</f>
        <v>1.2002302524871822E-5</v>
      </c>
      <c r="F15" s="2">
        <f t="shared" ref="F15:F16" si="30">IFERROR(C15/s_1_bq,".")</f>
        <v>4.4408633319415174E-7</v>
      </c>
      <c r="G15" s="3">
        <f t="shared" ref="G15:G16" si="31">IFERROR(D15/s_1_bq,".")</f>
        <v>0.17302744539401527</v>
      </c>
      <c r="H15" s="5">
        <f t="shared" ref="H15:H16" si="32">IFERROR(E15/s_1_bq,".")</f>
        <v>4.4408519342025787E-7</v>
      </c>
      <c r="I15" s="2">
        <f>IFERROR(C15*Isospec!C14*Isospec!F14*s_SSLcm_m,".")</f>
        <v>3.9823741987518766E-17</v>
      </c>
      <c r="J15" s="3">
        <f>IFERROR(D15*Isospec!C14*Isospec!F14*s_SSLcm_m,".")</f>
        <v>1.5516353076144379E-11</v>
      </c>
      <c r="K15" s="5">
        <f>IFERROR(E15*Isospec!C14*Isospec!F14*s_SSLcm_m,".")</f>
        <v>3.9823639777524705E-17</v>
      </c>
      <c r="L15" s="62">
        <f t="shared" ref="L15:L16" si="33">IF(E15&lt;&gt;".",E15*2.22*100,".")</f>
        <v>2.6645111605215445E-3</v>
      </c>
    </row>
    <row r="16" spans="1:12">
      <c r="A16" s="82" t="s">
        <v>29</v>
      </c>
      <c r="B16" s="12" t="s">
        <v>50</v>
      </c>
      <c r="C16" s="2">
        <f>IFERROR((s_DL)/(k_decay_iw*Doses!C14*s_IRDiw*s_Fin*s_Fi),".")</f>
        <v>1.2002333329571657E-5</v>
      </c>
      <c r="D16" s="3">
        <f>IFERROR((s_DL)/(k_decay_iw*Doses!L14*s_Fin*s_Fi*s_Fam*s_Foff*s_ETiw*(1/24)*s_EFiw*(1/365)*Isospec!R15),".")</f>
        <v>6.9887896041632205</v>
      </c>
      <c r="E16" s="3">
        <f t="shared" si="29"/>
        <v>1.2002312717167204E-5</v>
      </c>
      <c r="F16" s="2">
        <f t="shared" si="30"/>
        <v>4.4408633319415174E-7</v>
      </c>
      <c r="G16" s="3">
        <f t="shared" si="31"/>
        <v>0.25858521535403944</v>
      </c>
      <c r="H16" s="5">
        <f t="shared" si="32"/>
        <v>4.4408557053518699E-7</v>
      </c>
      <c r="I16" s="2">
        <f>IFERROR(C16*Isospec!C15*Isospec!F15*s_SSLcm_m,".")</f>
        <v>3.9151611321062746E-17</v>
      </c>
      <c r="J16" s="3">
        <f>IFERROR(D16*Isospec!C15*Isospec!F15*s_SSLcm_m,".")</f>
        <v>2.2797431688780428E-11</v>
      </c>
      <c r="K16" s="5">
        <f>IFERROR(E16*Isospec!C15*Isospec!F15*s_SSLcm_m,".")</f>
        <v>3.915154408339942E-17</v>
      </c>
      <c r="L16" s="62">
        <f t="shared" si="33"/>
        <v>2.6645134232111197E-3</v>
      </c>
    </row>
    <row r="17" spans="1:12">
      <c r="A17" s="82" t="s">
        <v>32</v>
      </c>
      <c r="B17" s="12" t="s">
        <v>50</v>
      </c>
      <c r="C17" s="2">
        <f>IFERROR((s_DL)/(k_decay_iw*Doses!C15*s_IRDiw*s_Fin*s_Fi),".")</f>
        <v>1.2002333329571657E-5</v>
      </c>
      <c r="D17" s="3">
        <f>IFERROR((s_DL)/(k_decay_iw*Doses!L15*s_Fin*s_Fi*s_Fam*s_Foff*s_ETiw*(1/24)*s_EFiw*(1/365)*Isospec!R16),".")</f>
        <v>2.8110464852300954</v>
      </c>
      <c r="E17" s="3">
        <f t="shared" ref="E17:E20" si="34">IFERROR(IF(AND(ISNUMBER(C17),ISNUMBER(D17)),(1/((1/C17)+(1/D17))),IF(AND(ISNUMBER(C17),NOT(ISNUMBER(D17))),(1/(1/C17)),IF(AND(NOT(ISNUMBER(C17)),ISNUMBER(D17)),(1/(1/D17)),"."))),".")</f>
        <v>1.2002282083393041E-5</v>
      </c>
      <c r="F17" s="2">
        <f t="shared" ref="F17:F23" si="35">IFERROR(C17/s_1_bq,".")</f>
        <v>4.4408633319415174E-7</v>
      </c>
      <c r="G17" s="3">
        <f t="shared" ref="G17:G23" si="36">IFERROR(D17/s_1_bq,".")</f>
        <v>0.10400871995351363</v>
      </c>
      <c r="H17" s="5">
        <f t="shared" ref="H17:H23" si="37">IFERROR(E17/s_1_bq,".")</f>
        <v>4.4408443708554296E-7</v>
      </c>
      <c r="I17" s="2">
        <f>IFERROR(C17*Isospec!C16*Isospec!F16*s_SSLcm_m,".")</f>
        <v>3.511882732232667E-17</v>
      </c>
      <c r="J17" s="3">
        <f>IFERROR(D17*Isospec!C16*Isospec!F16*s_SSLcm_m,".")</f>
        <v>8.2251220157832607E-12</v>
      </c>
      <c r="K17" s="5">
        <f>IFERROR(E17*Isospec!C16*Isospec!F16*s_SSLcm_m,".")</f>
        <v>3.511867737600804E-17</v>
      </c>
      <c r="L17" s="62">
        <f t="shared" ref="L17:L23" si="38">IF(E17&lt;&gt;".",E17*2.22*100,".")</f>
        <v>2.664506622513255E-3</v>
      </c>
    </row>
    <row r="18" spans="1:12">
      <c r="A18" s="82" t="s">
        <v>33</v>
      </c>
      <c r="B18" s="85" t="s">
        <v>50</v>
      </c>
      <c r="C18" s="2">
        <f>IFERROR((s_DL)/(k_decay_iw*Doses!C16*s_IRDiw*s_Fin*s_Fi),".")</f>
        <v>1.2002333329571657E-5</v>
      </c>
      <c r="D18" s="3">
        <f>IFERROR((s_DL)/(k_decay_iw*Doses!L16*s_Fin*s_Fi*s_Fam*s_Foff*s_ETiw*(1/24)*s_EFiw*(1/365)*Isospec!R17),".")</f>
        <v>3.6612761746846396</v>
      </c>
      <c r="E18" s="3">
        <f t="shared" si="34"/>
        <v>1.2002293983855507E-5</v>
      </c>
      <c r="F18" s="2">
        <f t="shared" si="35"/>
        <v>4.4408633319415174E-7</v>
      </c>
      <c r="G18" s="3">
        <f t="shared" si="36"/>
        <v>0.13546721846333179</v>
      </c>
      <c r="H18" s="5">
        <f t="shared" si="37"/>
        <v>4.4408487740265421E-7</v>
      </c>
      <c r="I18" s="2">
        <f>IFERROR(C18*Isospec!C17*Isospec!F17*s_SSLcm_m,".")</f>
        <v>3.5286859988940676E-17</v>
      </c>
      <c r="J18" s="3">
        <f>IFERROR(D18*Isospec!C17*Isospec!F17*s_SSLcm_m,".")</f>
        <v>1.0764151953572841E-11</v>
      </c>
      <c r="K18" s="5">
        <f>IFERROR(E18*Isospec!C17*Isospec!F17*s_SSLcm_m,".")</f>
        <v>3.5286744312535193E-17</v>
      </c>
      <c r="L18" s="62">
        <f t="shared" si="38"/>
        <v>2.6645092644159226E-3</v>
      </c>
    </row>
    <row r="19" spans="1:12">
      <c r="A19" s="82" t="s">
        <v>34</v>
      </c>
      <c r="B19" s="85" t="s">
        <v>50</v>
      </c>
      <c r="C19" s="2">
        <f>IFERROR((s_DL)/(k_decay_iw*Doses!C17*s_IRDiw*s_Fin*s_Fi),".")</f>
        <v>1.2002333329571657E-5</v>
      </c>
      <c r="D19" s="3">
        <f>IFERROR((s_DL)/(k_decay_iw*Doses!L17*s_Fin*s_Fi*s_Fam*s_Foff*s_ETiw*(1/24)*s_EFiw*(1/365)*Isospec!R18),".")</f>
        <v>9.3012567525995795</v>
      </c>
      <c r="E19" s="3">
        <f t="shared" si="34"/>
        <v>1.2002317841791531E-5</v>
      </c>
      <c r="F19" s="2">
        <f t="shared" si="35"/>
        <v>4.4408633319415174E-7</v>
      </c>
      <c r="G19" s="3">
        <f t="shared" si="36"/>
        <v>0.34414649984618478</v>
      </c>
      <c r="H19" s="5">
        <f t="shared" si="37"/>
        <v>4.4408576014628712E-7</v>
      </c>
      <c r="I19" s="2">
        <f>IFERROR(C19*Isospec!C18*Isospec!F18*s_SSLcm_m,".")</f>
        <v>3.5958990655396684E-17</v>
      </c>
      <c r="J19" s="3">
        <f>IFERROR(D19*Isospec!C18*Isospec!F18*s_SSLcm_m,".")</f>
        <v>2.7866565230788339E-11</v>
      </c>
      <c r="K19" s="5">
        <f>IFERROR(E19*Isospec!C18*Isospec!F18*s_SSLcm_m,".")</f>
        <v>3.5958944254007431E-17</v>
      </c>
      <c r="L19" s="62">
        <f t="shared" si="38"/>
        <v>2.6645145608777203E-3</v>
      </c>
    </row>
    <row r="20" spans="1:12">
      <c r="A20" s="82" t="s">
        <v>36</v>
      </c>
      <c r="B20" s="85" t="s">
        <v>50</v>
      </c>
      <c r="C20" s="2">
        <f>IFERROR((s_DL)/(k_decay_iw*Doses!C18*s_IRDiw*s_Fin*s_Fi),".")</f>
        <v>1.2002333329571657E-5</v>
      </c>
      <c r="D20" s="3">
        <f>IFERROR((s_DL)/(k_decay_iw*Doses!L18*s_Fin*s_Fi*s_Fam*s_Foff*s_ETiw*(1/24)*s_EFiw*(1/365)*Isospec!R19),".")</f>
        <v>11.71269368845873</v>
      </c>
      <c r="E20" s="3">
        <f t="shared" si="34"/>
        <v>1.2002321030448877E-5</v>
      </c>
      <c r="F20" s="2">
        <f t="shared" si="35"/>
        <v>4.4408633319415174E-7</v>
      </c>
      <c r="G20" s="3">
        <f t="shared" si="36"/>
        <v>0.43336966647297342</v>
      </c>
      <c r="H20" s="5">
        <f t="shared" si="37"/>
        <v>4.440858781266089E-7</v>
      </c>
      <c r="I20" s="2">
        <f>IFERROR(C20*Isospec!C19*Isospec!F19*s_SSLcm_m,".")</f>
        <v>3.5286859988940676E-17</v>
      </c>
      <c r="J20" s="3">
        <f>IFERROR(D20*Isospec!C19*Isospec!F19*s_SSLcm_m,".")</f>
        <v>3.4435319444068666E-11</v>
      </c>
      <c r="K20" s="5">
        <f>IFERROR(E20*Isospec!C19*Isospec!F19*s_SSLcm_m,".")</f>
        <v>3.5286823829519701E-17</v>
      </c>
      <c r="L20" s="62">
        <f t="shared" si="38"/>
        <v>2.6645152687596509E-3</v>
      </c>
    </row>
    <row r="21" spans="1:12">
      <c r="A21" s="82" t="s">
        <v>37</v>
      </c>
      <c r="B21" s="12" t="s">
        <v>50</v>
      </c>
      <c r="C21" s="2">
        <f>IFERROR((s_DL)/(k_decay_iw*Doses!C19*s_IRDiw*s_Fin*s_Fi),".")</f>
        <v>1.2002333329571657E-5</v>
      </c>
      <c r="D21" s="3">
        <f>IFERROR((s_DL)/(k_decay_iw*Doses!L19*s_Fin*s_Fi*s_Fam*s_Foff*s_ETiw*(1/24)*s_EFiw*(1/365)*Isospec!R20),".")</f>
        <v>11.658718141507308</v>
      </c>
      <c r="E21" s="3">
        <f t="shared" ref="E21:E23" si="39">IFERROR(IF(AND(ISNUMBER(C21),ISNUMBER(D21)),(1/((1/C21)+(1/D21))),IF(AND(ISNUMBER(C21),NOT(ISNUMBER(D21))),(1/(1/C21)),IF(AND(NOT(ISNUMBER(C21)),ISNUMBER(D21)),(1/(1/D21)),"."))),".")</f>
        <v>1.2002320973508553E-5</v>
      </c>
      <c r="F21" s="2">
        <f t="shared" si="35"/>
        <v>4.4408633319415174E-7</v>
      </c>
      <c r="G21" s="3">
        <f t="shared" si="36"/>
        <v>0.43137257123577083</v>
      </c>
      <c r="H21" s="5">
        <f t="shared" si="37"/>
        <v>4.4408587601981689E-7</v>
      </c>
      <c r="I21" s="2">
        <f>IFERROR(C21*Isospec!C20*Isospec!F20*s_SSLcm_m,".")</f>
        <v>3.5790957988782684E-17</v>
      </c>
      <c r="J21" s="3">
        <f>IFERROR(D21*Isospec!C20*Isospec!F20*s_SSLcm_m,".")</f>
        <v>3.4766297497974795E-11</v>
      </c>
      <c r="K21" s="5">
        <f>IFERROR(E21*Isospec!C20*Isospec!F20*s_SSLcm_m,".")</f>
        <v>3.5790921143002505E-17</v>
      </c>
      <c r="L21" s="62">
        <f t="shared" si="38"/>
        <v>2.6645152561188988E-3</v>
      </c>
    </row>
    <row r="22" spans="1:12">
      <c r="A22" s="82" t="s">
        <v>38</v>
      </c>
      <c r="B22" s="85" t="s">
        <v>50</v>
      </c>
      <c r="C22" s="2">
        <f>IFERROR((s_DL)/(k_decay_iw*Doses!C20*s_IRDiw*s_Fin*s_Fi),".")</f>
        <v>1.2002333329571657E-5</v>
      </c>
      <c r="D22" s="3">
        <f>IFERROR((s_DL)/(k_decay_iw*Doses!L20*s_Fin*s_Fi*s_Fam*s_Foff*s_ETiw*(1/24)*s_EFiw*(1/365)*Isospec!R21),".")</f>
        <v>11.71269368845873</v>
      </c>
      <c r="E22" s="3">
        <f t="shared" si="39"/>
        <v>1.2002321030448877E-5</v>
      </c>
      <c r="F22" s="2">
        <f t="shared" si="35"/>
        <v>4.4408633319415174E-7</v>
      </c>
      <c r="G22" s="3">
        <f t="shared" si="36"/>
        <v>0.43336966647297342</v>
      </c>
      <c r="H22" s="5">
        <f t="shared" si="37"/>
        <v>4.440858781266089E-7</v>
      </c>
      <c r="I22" s="2">
        <f>IFERROR(C22*Isospec!C21*Isospec!F21*s_SSLcm_m,".")</f>
        <v>3.5958990655396684E-17</v>
      </c>
      <c r="J22" s="3">
        <f>IFERROR(D22*Isospec!C21*Isospec!F21*s_SSLcm_m,".")</f>
        <v>3.5091230290622351E-11</v>
      </c>
      <c r="K22" s="5">
        <f>IFERROR(E22*Isospec!C21*Isospec!F21*s_SSLcm_m,".")</f>
        <v>3.5958953807224839E-17</v>
      </c>
      <c r="L22" s="62">
        <f t="shared" si="38"/>
        <v>2.6645152687596509E-3</v>
      </c>
    </row>
    <row r="23" spans="1:12">
      <c r="A23" s="82" t="s">
        <v>39</v>
      </c>
      <c r="B23" s="85" t="s">
        <v>50</v>
      </c>
      <c r="C23" s="2">
        <f>IFERROR((s_DL)/(k_decay_iw*Doses!C21*s_IRDiw*s_Fin*s_Fi),".")</f>
        <v>1.2002333329571657E-5</v>
      </c>
      <c r="D23" s="3">
        <f>IFERROR((s_DL)/(k_decay_iw*Doses!L21*s_Fin*s_Fi*s_Fam*s_Foff*s_ETiw*(1/24)*s_EFiw*(1/365)*Isospec!R22),".")</f>
        <v>2.8110464852300954</v>
      </c>
      <c r="E23" s="3">
        <f t="shared" si="39"/>
        <v>1.2002282083393041E-5</v>
      </c>
      <c r="F23" s="2">
        <f t="shared" si="35"/>
        <v>4.4408633319415174E-7</v>
      </c>
      <c r="G23" s="3">
        <f t="shared" si="36"/>
        <v>0.10400871995351363</v>
      </c>
      <c r="H23" s="5">
        <f t="shared" si="37"/>
        <v>4.4408443708554296E-7</v>
      </c>
      <c r="I23" s="2">
        <f>IFERROR(C23*Isospec!C22*Isospec!F22*s_SSLcm_m,".")</f>
        <v>3.6631121321852698E-17</v>
      </c>
      <c r="J23" s="3">
        <f>IFERROR(D23*Isospec!C22*Isospec!F22*s_SSLcm_m,".")</f>
        <v>8.5793138729222515E-12</v>
      </c>
      <c r="K23" s="5">
        <f>IFERROR(E23*Isospec!C22*Isospec!F22*s_SSLcm_m,".")</f>
        <v>3.6630964918515564E-17</v>
      </c>
      <c r="L23" s="62">
        <f t="shared" si="38"/>
        <v>2.664506622513255E-3</v>
      </c>
    </row>
    <row r="24" spans="1:12">
      <c r="A24" s="82" t="s">
        <v>26</v>
      </c>
      <c r="B24" s="12" t="s">
        <v>50</v>
      </c>
      <c r="C24" s="2">
        <f>IFERROR((s_DL)/(k_decay_iw*Doses!C22*s_IRDiw*s_Fin*s_Fi),".")</f>
        <v>1.2002333329571657E-5</v>
      </c>
      <c r="D24" s="3">
        <f>IFERROR((s_DL)/(k_decay_iw*Doses!L22*s_Fin*s_Fi*s_Fam*s_Foff*s_ETiw*(1/24)*s_EFiw*(1/365)*Isospec!R23),".")</f>
        <v>5.3487142425096952</v>
      </c>
      <c r="E24" s="3">
        <f t="shared" ref="E24:E25" si="40">IFERROR(IF(AND(ISNUMBER(C24),ISNUMBER(D24)),(1/((1/C24)+(1/D24))),IF(AND(ISNUMBER(C24),NOT(ISNUMBER(D24))),(1/(1/C24)),IF(AND(NOT(ISNUMBER(C24)),ISNUMBER(D24)),(1/(1/D24)),"."))),".")</f>
        <v>1.2002306396803225E-5</v>
      </c>
      <c r="F24" s="2">
        <f t="shared" ref="F24:F25" si="41">IFERROR(C24/s_1_bq,".")</f>
        <v>4.4408633319415174E-7</v>
      </c>
      <c r="G24" s="3">
        <f t="shared" ref="G24:G25" si="42">IFERROR(D24/s_1_bq,".")</f>
        <v>0.19790242697285892</v>
      </c>
      <c r="H24" s="5">
        <f t="shared" ref="H24:H25" si="43">IFERROR(E24/s_1_bq,".")</f>
        <v>4.4408533668171977E-7</v>
      </c>
      <c r="I24" s="2">
        <f>IFERROR(C24*Isospec!C23*Isospec!F23*s_SSLcm_m,".")</f>
        <v>3.7807349988150725E-17</v>
      </c>
      <c r="J24" s="3">
        <f>IFERROR(D24*Isospec!C23*Isospec!F23*s_SSLcm_m,".")</f>
        <v>1.684844986390554E-11</v>
      </c>
      <c r="K24" s="5">
        <f>IFERROR(E24*Isospec!C23*Isospec!F23*s_SSLcm_m,".")</f>
        <v>3.7807265149930156E-17</v>
      </c>
      <c r="L24" s="62">
        <f t="shared" ref="L24:L25" si="44">IF(E24&lt;&gt;".",E24*2.22*100,".")</f>
        <v>2.6645120200903161E-3</v>
      </c>
    </row>
    <row r="25" spans="1:12">
      <c r="A25" s="83" t="s">
        <v>27</v>
      </c>
      <c r="B25" s="85" t="s">
        <v>44</v>
      </c>
      <c r="C25" s="2">
        <f>IFERROR((s_DL)/(k_decay_iw*Doses!C23*s_IRDiw*s_Fin*s_Fi),".")</f>
        <v>1.2002333329571657E-5</v>
      </c>
      <c r="D25" s="3">
        <f>IFERROR((s_DL)/(k_decay_iw*Doses!L23*s_Fin*s_Fi*s_Fam*s_Foff*s_ETiw*(1/24)*s_EFiw*(1/365)*Isospec!R24),".")</f>
        <v>8.006145052870524</v>
      </c>
      <c r="E25" s="3">
        <f t="shared" si="40"/>
        <v>1.2002315336419091E-5</v>
      </c>
      <c r="F25" s="2">
        <f t="shared" si="41"/>
        <v>4.4408633319415174E-7</v>
      </c>
      <c r="G25" s="3">
        <f t="shared" si="42"/>
        <v>0.29622736695620971</v>
      </c>
      <c r="H25" s="5">
        <f t="shared" si="43"/>
        <v>4.4408566744750678E-7</v>
      </c>
      <c r="I25" s="2">
        <f>IFERROR(C25*Isospec!C24*Isospec!F24*s_SSLcm_m,".")</f>
        <v>3.7975382654764725E-17</v>
      </c>
      <c r="J25" s="3">
        <f>IFERROR(D25*Isospec!C24*Isospec!F24*s_SSLcm_m,".")</f>
        <v>2.5331442947282339E-11</v>
      </c>
      <c r="K25" s="5">
        <f>IFERROR(E25*Isospec!C24*Isospec!F24*s_SSLcm_m,".")</f>
        <v>3.7975325724430007E-17</v>
      </c>
      <c r="L25" s="62">
        <f t="shared" si="44"/>
        <v>2.6645140046850386E-3</v>
      </c>
    </row>
    <row r="26" spans="1:12">
      <c r="A26" s="82" t="s">
        <v>30</v>
      </c>
      <c r="B26" s="85" t="s">
        <v>50</v>
      </c>
      <c r="C26" s="2">
        <f>IFERROR((s_DL)/(k_decay_iw*Doses!C24*s_IRDiw*s_Fin*s_Fi),".")</f>
        <v>1.2002333329571657E-5</v>
      </c>
      <c r="D26" s="3">
        <f>IFERROR((s_DL)/(k_decay_iw*Doses!L24*s_Fin*s_Fi*s_Fam*s_Foff*s_ETiw*(1/24)*s_EFiw*(1/365)*Isospec!R25),".")</f>
        <v>11.345030657879308</v>
      </c>
      <c r="E26" s="3">
        <f t="shared" ref="E26:E27" si="45">IFERROR(IF(AND(ISNUMBER(C26),ISNUMBER(D26)),(1/((1/C26)+(1/D26))),IF(AND(ISNUMBER(C26),NOT(ISNUMBER(D26))),(1/(1/C26)),IF(AND(NOT(ISNUMBER(C26)),ISNUMBER(D26)),(1/(1/D26)),"."))),".")</f>
        <v>1.2002320631866616E-5</v>
      </c>
      <c r="F26" s="2">
        <f t="shared" ref="F26" si="46">IFERROR(C26/s_1_bq,".")</f>
        <v>4.4408633319415174E-7</v>
      </c>
      <c r="G26" s="3">
        <f t="shared" ref="G26" si="47">IFERROR(D26/s_1_bq,".")</f>
        <v>0.41976613434153481</v>
      </c>
      <c r="H26" s="5">
        <f t="shared" ref="H26" si="48">IFERROR(E26/s_1_bq,".")</f>
        <v>4.4408586337906522E-7</v>
      </c>
      <c r="I26" s="2">
        <f>IFERROR(C26*Isospec!C25*Isospec!F25*s_SSLcm_m,".")</f>
        <v>3.6631121321852698E-17</v>
      </c>
      <c r="J26" s="3">
        <f>IFERROR(D26*Isospec!C25*Isospec!F25*s_SSLcm_m,".")</f>
        <v>3.4625033567847648E-11</v>
      </c>
      <c r="K26" s="5">
        <f>IFERROR(E26*Isospec!C25*Isospec!F25*s_SSLcm_m,".")</f>
        <v>3.6631082568456911E-17</v>
      </c>
      <c r="L26" s="62">
        <f t="shared" ref="L26:L27" si="49">IF(E26&lt;&gt;".",E26*2.22*100,".")</f>
        <v>2.6645151802743888E-3</v>
      </c>
    </row>
    <row r="27" spans="1:12">
      <c r="A27" s="83" t="s">
        <v>31</v>
      </c>
      <c r="B27" s="85" t="s">
        <v>44</v>
      </c>
      <c r="C27" s="2">
        <f>IFERROR((s_DL)/(k_decay_iw*Doses!C25*s_IRDiw*s_Fin*s_Fi),".")</f>
        <v>1.2002333329571657E-5</v>
      </c>
      <c r="D27" s="3">
        <f>IFERROR((s_DL)/(k_decay_iw*Doses!L25*s_Fin*s_Fi*s_Fam*s_Foff*s_ETiw*(1/24)*s_EFiw*(1/365)*Isospec!R26),".")</f>
        <v>11.345030657879308</v>
      </c>
      <c r="E27" s="3">
        <f t="shared" si="45"/>
        <v>1.2002320631866616E-5</v>
      </c>
      <c r="F27" s="2">
        <f t="shared" ref="F27" si="50">IFERROR(C27/s_1_bq,".")</f>
        <v>4.4408633319415174E-7</v>
      </c>
      <c r="G27" s="3">
        <f t="shared" ref="G27" si="51">IFERROR(D27/s_1_bq,".")</f>
        <v>0.41976613434153481</v>
      </c>
      <c r="H27" s="5">
        <f t="shared" ref="H27" si="52">IFERROR(E27/s_1_bq,".")</f>
        <v>4.4408586337906522E-7</v>
      </c>
      <c r="I27" s="2">
        <f>IFERROR(C27*Isospec!C26*Isospec!F26*s_SSLcm_m,".")</f>
        <v>3.7303251988308711E-17</v>
      </c>
      <c r="J27" s="3">
        <f>IFERROR(D27*Isospec!C26*Isospec!F26*s_SSLcm_m,".")</f>
        <v>3.5260355284688885E-11</v>
      </c>
      <c r="K27" s="5">
        <f>IFERROR(E27*Isospec!C26*Isospec!F26*s_SSLcm_m,".")</f>
        <v>3.7303212523841445E-17</v>
      </c>
      <c r="L27" s="62">
        <f t="shared" si="49"/>
        <v>2.6645151802743888E-3</v>
      </c>
    </row>
    <row r="28" spans="1:12">
      <c r="A28" s="82" t="s">
        <v>35</v>
      </c>
      <c r="B28" s="12" t="s">
        <v>50</v>
      </c>
      <c r="C28" s="2">
        <f>IFERROR((s_DL)/(k_decay_iw*Doses!C26*s_IRDiw*s_Fin*s_Fi),".")</f>
        <v>1.2002333329571657E-5</v>
      </c>
      <c r="D28" s="3">
        <f>IFERROR((s_DL)/(k_decay_iw*Doses!L26*s_Fin*s_Fi*s_Fam*s_Foff*s_ETiw*(1/24)*s_EFiw*(1/365)*Isospec!R27),".")</f>
        <v>4.8935045197429119</v>
      </c>
      <c r="E28" s="3">
        <f t="shared" ref="E28:E31" si="53">IFERROR(IF(AND(ISNUMBER(C28),ISNUMBER(D28)),(1/((1/C28)+(1/D28))),IF(AND(ISNUMBER(C28),NOT(ISNUMBER(D28))),(1/(1/C28)),IF(AND(NOT(ISNUMBER(C28)),ISNUMBER(D28)),(1/(1/D28)),"."))),".")</f>
        <v>1.2002303891435561E-5</v>
      </c>
      <c r="F28" s="2">
        <f t="shared" ref="F28:F31" si="54">IFERROR(C28/s_1_bq,".")</f>
        <v>4.4408633319415174E-7</v>
      </c>
      <c r="G28" s="3">
        <f t="shared" ref="G28:G31" si="55">IFERROR(D28/s_1_bq,".")</f>
        <v>0.18105966723048791</v>
      </c>
      <c r="H28" s="5">
        <f t="shared" ref="H28:H31" si="56">IFERROR(E28/s_1_bq,".")</f>
        <v>4.4408524398311621E-7</v>
      </c>
      <c r="I28" s="2">
        <f>IFERROR(C28*Isospec!C27*Isospec!F27*s_SSLcm_m,".")</f>
        <v>3.8479480654606732E-17</v>
      </c>
      <c r="J28" s="3">
        <f>IFERROR(D28*Isospec!C27*Isospec!F27*s_SSLcm_m,".")</f>
        <v>1.5688575490295777E-11</v>
      </c>
      <c r="K28" s="5">
        <f>IFERROR(E28*Isospec!C27*Isospec!F27*s_SSLcm_m,".")</f>
        <v>3.847938627594241E-17</v>
      </c>
      <c r="L28" s="62">
        <f t="shared" ref="L28:L31" si="57">IF(E28&lt;&gt;".",E28*2.22*100,".")</f>
        <v>2.6645114638986951E-3</v>
      </c>
    </row>
    <row r="29" spans="1:12">
      <c r="A29" s="82" t="s">
        <v>40</v>
      </c>
      <c r="B29" s="85" t="s">
        <v>50</v>
      </c>
      <c r="C29" s="2">
        <f>IFERROR((s_DL)/(k_decay_iw*Doses!C27*s_IRDiw*s_Fin*s_Fi),".")</f>
        <v>1.2002333329571657E-5</v>
      </c>
      <c r="D29" s="3">
        <f>IFERROR((s_DL)/(k_decay_iw*Doses!L27*s_Fin*s_Fi*s_Fam*s_Foff*s_ETiw*(1/24)*s_EFiw*(1/365)*Isospec!R28),".")</f>
        <v>6.3566377806710692</v>
      </c>
      <c r="E29" s="3">
        <f t="shared" si="53"/>
        <v>1.2002310667318698E-5</v>
      </c>
      <c r="F29" s="2">
        <f t="shared" si="54"/>
        <v>4.4408633319415174E-7</v>
      </c>
      <c r="G29" s="3">
        <f t="shared" si="55"/>
        <v>0.2351955978848298</v>
      </c>
      <c r="H29" s="5">
        <f t="shared" si="56"/>
        <v>4.4408549469079228E-7</v>
      </c>
      <c r="I29" s="2">
        <f>IFERROR(C29*Isospec!C28*Isospec!F28*s_SSLcm_m,".")</f>
        <v>3.4614729322484663E-17</v>
      </c>
      <c r="J29" s="3">
        <f>IFERROR(D29*Isospec!C28*Isospec!F28*s_SSLcm_m,".")</f>
        <v>1.8332543359455362E-11</v>
      </c>
      <c r="K29" s="5">
        <f>IFERROR(E29*Isospec!C28*Isospec!F28*s_SSLcm_m,".")</f>
        <v>3.4614663964547131E-17</v>
      </c>
      <c r="L29" s="62">
        <f t="shared" si="57"/>
        <v>2.6645129681447514E-3</v>
      </c>
    </row>
    <row r="30" spans="1:12">
      <c r="A30" s="82" t="s">
        <v>41</v>
      </c>
      <c r="B30" s="12" t="s">
        <v>50</v>
      </c>
      <c r="C30" s="2">
        <f>IFERROR((s_DL)/(k_decay_iw*Doses!C28*s_IRDiw*s_Fin*s_Fi),".")</f>
        <v>1.2002333329571657E-5</v>
      </c>
      <c r="D30" s="3">
        <f>IFERROR((s_DL)/(k_decay_iw*Doses!L28*s_Fin*s_Fi*s_Fam*s_Foff*s_ETiw*(1/24)*s_EFiw*(1/365)*Isospec!R29),".")</f>
        <v>11.605237783060026</v>
      </c>
      <c r="E30" s="3">
        <f t="shared" si="53"/>
        <v>1.2002320916568228E-5</v>
      </c>
      <c r="F30" s="2">
        <f t="shared" si="54"/>
        <v>4.4408633319415174E-7</v>
      </c>
      <c r="G30" s="3">
        <f t="shared" si="55"/>
        <v>0.42939379797322141</v>
      </c>
      <c r="H30" s="5">
        <f t="shared" si="56"/>
        <v>4.4408587391302487E-7</v>
      </c>
      <c r="I30" s="2">
        <f>IFERROR(C30*Isospec!C29*Isospec!F29*s_SSLcm_m,".")</f>
        <v>3.511882732232667E-17</v>
      </c>
      <c r="J30" s="3">
        <f>IFERROR(D30*Isospec!C29*Isospec!F29*s_SSLcm_m,".")</f>
        <v>3.3956925753233639E-11</v>
      </c>
      <c r="K30" s="5">
        <f>IFERROR(E30*Isospec!C29*Isospec!F29*s_SSLcm_m,".")</f>
        <v>3.5118791001878636E-17</v>
      </c>
      <c r="L30" s="62">
        <f t="shared" si="57"/>
        <v>2.664515243478147E-3</v>
      </c>
    </row>
    <row r="31" spans="1:12">
      <c r="A31" s="82" t="s">
        <v>42</v>
      </c>
      <c r="B31" s="85" t="s">
        <v>50</v>
      </c>
      <c r="C31" s="2">
        <f>IFERROR((s_DL)/(k_decay_iw*Doses!C29*s_IRDiw*s_Fin*s_Fi),".")</f>
        <v>1.2002333329571657E-5</v>
      </c>
      <c r="D31" s="3">
        <f>IFERROR((s_DL)/(k_decay_iw*Doses!L29*s_Fin*s_Fi*s_Fam*s_Foff*s_ETiw*(1/24)*s_EFiw*(1/365)*Isospec!R30),".")</f>
        <v>11.499735621395844</v>
      </c>
      <c r="E31" s="3">
        <f t="shared" si="53"/>
        <v>1.2002320802687583E-5</v>
      </c>
      <c r="F31" s="2">
        <f t="shared" si="54"/>
        <v>4.4408633319415174E-7</v>
      </c>
      <c r="G31" s="3">
        <f t="shared" si="55"/>
        <v>0.42549021799164666</v>
      </c>
      <c r="H31" s="5">
        <f t="shared" si="56"/>
        <v>4.44085869699441E-7</v>
      </c>
      <c r="I31" s="2">
        <f>IFERROR(C31*Isospec!C30*Isospec!F30*s_SSLcm_m,".")</f>
        <v>3.5286859988940676E-17</v>
      </c>
      <c r="J31" s="3">
        <f>IFERROR(D31*Isospec!C30*Isospec!F30*s_SSLcm_m,".")</f>
        <v>3.3809222726903782E-11</v>
      </c>
      <c r="K31" s="5">
        <f>IFERROR(E31*Isospec!C30*Isospec!F30*s_SSLcm_m,".")</f>
        <v>3.5286823159901494E-17</v>
      </c>
      <c r="L31" s="62">
        <f t="shared" si="57"/>
        <v>2.6645152181966436E-3</v>
      </c>
    </row>
    <row r="32" spans="1:12">
      <c r="A32" s="82" t="s">
        <v>25</v>
      </c>
      <c r="B32" s="12" t="s">
        <v>50</v>
      </c>
      <c r="C32" s="2">
        <f>IFERROR((s_DL)/(k_decay_iw*Doses!C30*s_IRDiw*s_Fin*s_Fi),".")</f>
        <v>1.2002333329571657E-5</v>
      </c>
      <c r="D32" s="3">
        <f>IFERROR((s_DL)/(k_decay_iw*Doses!L30*s_Fin*s_Fi*s_Fam*s_Foff*s_ETiw*(1/24)*s_EFiw*(1/365)*Isospec!R31),".")</f>
        <v>4.0479069387313373</v>
      </c>
      <c r="E32" s="3">
        <f t="shared" ref="E32" si="58">IFERROR(IF(AND(ISNUMBER(C32),ISNUMBER(D32)),(1/((1/C32)+(1/D32))),IF(AND(ISNUMBER(C32),NOT(ISNUMBER(D32))),(1/(1/C32)),IF(AND(NOT(ISNUMBER(C32)),ISNUMBER(D32)),(1/(1/D32)),"."))),".")</f>
        <v>1.200229774190119E-5</v>
      </c>
      <c r="F32" s="2">
        <f t="shared" ref="F32" si="59">IFERROR(C32/s_1_bq,".")</f>
        <v>4.4408633319415174E-7</v>
      </c>
      <c r="G32" s="3">
        <f t="shared" ref="G32" si="60">IFERROR(D32/s_1_bq,".")</f>
        <v>0.14977255673305964</v>
      </c>
      <c r="H32" s="5">
        <f t="shared" ref="H32" si="61">IFERROR(E32/s_1_bq,".")</f>
        <v>4.4408501645034447E-7</v>
      </c>
      <c r="I32" s="2">
        <f>IFERROR(C32*Isospec!C31*Isospec!F31*s_SSLcm_m,".")</f>
        <v>3.9151611321062746E-17</v>
      </c>
      <c r="J32" s="3">
        <f>IFERROR(D32*Isospec!C31*Isospec!F31*s_SSLcm_m,".")</f>
        <v>1.3204272434141623E-11</v>
      </c>
      <c r="K32" s="5">
        <f>IFERROR(E32*Isospec!C31*Isospec!F31*s_SSLcm_m,".")</f>
        <v>3.915149523408168E-17</v>
      </c>
      <c r="L32" s="62">
        <f t="shared" ref="L32" si="62">IF(E32&lt;&gt;".",E32*2.22*100,".")</f>
        <v>2.6645100987020645E-3</v>
      </c>
    </row>
    <row r="33" spans="1:12">
      <c r="A33" s="30" t="s">
        <v>14</v>
      </c>
      <c r="B33" s="30" t="s">
        <v>50</v>
      </c>
      <c r="C33" s="71">
        <f t="shared" ref="C33:H33" si="63">IFERROR(1/SUM(1/C34,1/C35,1/C36,1/C37,1/C38,1/C39,1/C40,1/C41,1/C42,1/C43,1/C44,1/C45,1/C46),0)</f>
        <v>1.0002244508644972E-6</v>
      </c>
      <c r="D33" s="72">
        <f t="shared" si="63"/>
        <v>0.46008490021108833</v>
      </c>
      <c r="E33" s="73">
        <f t="shared" si="63"/>
        <v>1.000222276381534E-6</v>
      </c>
      <c r="F33" s="71">
        <f t="shared" si="63"/>
        <v>3.7008304681986434E-8</v>
      </c>
      <c r="G33" s="72">
        <f t="shared" si="63"/>
        <v>1.7023141307810283E-2</v>
      </c>
      <c r="H33" s="73">
        <f t="shared" si="63"/>
        <v>3.7008224226116803E-8</v>
      </c>
      <c r="I33" s="20">
        <f>IFERROR(C33*Isospec!$C$4*Isospec!$F$4*s_SSLcm_m,".")</f>
        <v>3.3747572972168142E-18</v>
      </c>
      <c r="J33" s="19">
        <f>IFERROR(D33*Isospec!$C$4*Isospec!$F$4*s_SSLcm_m,".")</f>
        <v>1.5523264533122122E-12</v>
      </c>
      <c r="K33" s="19">
        <f>IFERROR(E33*Isospec!$C$4*Isospec!$F$4*s_SSLcm_m,".")</f>
        <v>3.374749960511296E-18</v>
      </c>
      <c r="L33" s="89">
        <f>IF(E33&lt;&gt;".",E33*2.22*100,".")</f>
        <v>2.2204934535670055E-4</v>
      </c>
    </row>
    <row r="34" spans="1:12">
      <c r="A34" s="31" t="s">
        <v>137</v>
      </c>
      <c r="B34" s="32">
        <v>1</v>
      </c>
      <c r="C34" s="65">
        <f>IFERROR(VLOOKUP("Am-241",$A$4:$L$32,3)/$B34,0)</f>
        <v>1.2002333329571657E-5</v>
      </c>
      <c r="D34" s="66">
        <f>IFERROR(VLOOKUP("Am-241",$A$4:$L$32,4)/$B34,0)</f>
        <v>4.9998850527808019</v>
      </c>
      <c r="E34" s="67">
        <f>IFERROR(IF(AND(C34&lt;&gt;0,D34&lt;&gt;0),(1/((1/C34)+(1/D34))),IF(AND(C34&lt;&gt;0,D34=0),(1/(1/C34)),IF(AND(C34=0,D34&lt;&gt;0),(1/(1/D34)),0))),0)</f>
        <v>1.2002304517777379E-5</v>
      </c>
      <c r="F34" s="65">
        <f>IFERROR(VLOOKUP("Am-241",$A$4:$L$32,6)/$B34,0)</f>
        <v>4.4408633319415174E-7</v>
      </c>
      <c r="G34" s="66">
        <f>IFERROR(VLOOKUP("Am-241",$A$4:$L$32,7)/$B34,0)</f>
        <v>0.18499574695288987</v>
      </c>
      <c r="H34" s="67">
        <f>IFERROR(IF(AND(F34&lt;&gt;0,G34&lt;&gt;0),(1/((1/F34)+(1/G34))),IF(AND(F34&lt;&gt;0,G34=0),(1/(1/F34)),IF(AND(F34=0,G34&lt;&gt;0),(1/(1/G34)),0))),0)</f>
        <v>4.4408526715776358E-7</v>
      </c>
      <c r="I34" s="65">
        <f>IFERROR(VLOOKUP("Am-241",$A$4:$L$32,9)/$B34,0)</f>
        <v>4.0495872653974773E-17</v>
      </c>
      <c r="J34" s="66">
        <f>IFERROR(VLOOKUP("Am-241",$A$4:$L$32,10)/$B34,0)</f>
        <v>1.6869612168082426E-11</v>
      </c>
      <c r="K34" s="66">
        <f>IFERROR(VLOOKUP("Am-241",$A$4:$L$32,11)/$B34,0)</f>
        <v>4.049577544298088E-17</v>
      </c>
      <c r="L34" s="90">
        <f t="shared" ref="L34:L67" si="64">IF(E34&lt;&gt;".",E34*2.22*100,".")</f>
        <v>2.6645116029465781E-3</v>
      </c>
    </row>
    <row r="35" spans="1:12">
      <c r="A35" s="31" t="s">
        <v>138</v>
      </c>
      <c r="B35" s="32">
        <v>1</v>
      </c>
      <c r="C35" s="65">
        <f>IFERROR(VLOOKUP("Np-237",$A$4:$L$32,3)/$B35,0)</f>
        <v>1.2002333329571657E-5</v>
      </c>
      <c r="D35" s="66">
        <f>IFERROR(VLOOKUP("Np-237",$A$4:$L$32,4)/$B35,0)</f>
        <v>4.6764174430814887</v>
      </c>
      <c r="E35" s="67">
        <f t="shared" ref="E35:E46" si="65">IFERROR(IF(AND(C35&lt;&gt;0,D35&lt;&gt;0),(1/((1/C35)+(1/D35))),IF(AND(C35&lt;&gt;0,D35=0),(1/(1/C35)),IF(AND(C35=0,D35&lt;&gt;0),(1/(1/D35)),0))),0)</f>
        <v>1.2002302524871822E-5</v>
      </c>
      <c r="F35" s="65">
        <f>IFERROR(VLOOKUP("Np-237",$A$4:$L$32,6)/$B35,0)</f>
        <v>4.4408633319415174E-7</v>
      </c>
      <c r="G35" s="66">
        <f>IFERROR(VLOOKUP("Np-237",$A$4:$L$32,7)/$B35,0)</f>
        <v>0.17302744539401527</v>
      </c>
      <c r="H35" s="67">
        <f t="shared" ref="H35" si="66">IFERROR(IF(AND(F35&lt;&gt;0,G35&lt;&gt;0),(1/((1/F35)+(1/G35))),IF(AND(F35&lt;&gt;0,G35=0),(1/(1/F35)),IF(AND(F35=0,G35&lt;&gt;0),(1/(1/G35)),0))),0)</f>
        <v>4.4408519342025803E-7</v>
      </c>
      <c r="I35" s="65">
        <f>IFERROR(VLOOKUP("Np-237",$A$4:$L$32,9)/$B35,0)</f>
        <v>3.9823741987518766E-17</v>
      </c>
      <c r="J35" s="66">
        <f>IFERROR(VLOOKUP("Np-237",$A$4:$L$32,10)/$B35,0)</f>
        <v>1.5516353076144379E-11</v>
      </c>
      <c r="K35" s="66">
        <f>IFERROR(VLOOKUP("Np-237",$A$4:$L$32,11)/$B35,0)</f>
        <v>3.9823639777524705E-17</v>
      </c>
      <c r="L35" s="90">
        <f t="shared" si="64"/>
        <v>2.6645111605215445E-3</v>
      </c>
    </row>
    <row r="36" spans="1:12">
      <c r="A36" s="31" t="s">
        <v>139</v>
      </c>
      <c r="B36" s="32">
        <v>1</v>
      </c>
      <c r="C36" s="65">
        <f>IFERROR(VLOOKUP("Pa-233",$A$4:$L$32,3)/$B36,0)</f>
        <v>1.2002333329571657E-5</v>
      </c>
      <c r="D36" s="66">
        <f>IFERROR(VLOOKUP("Pa-233",$A$4:$L$32,4)/$B36,0)</f>
        <v>6.9887896041632205</v>
      </c>
      <c r="E36" s="67">
        <f>IFERROR(IF(AND(C36&lt;&gt;0,D36&lt;&gt;0),(1/((1/C36)+(1/D36))),IF(AND(C36&lt;&gt;0,D36=0),(1/(1/C36)),IF(AND(C36=0,D36&lt;&gt;0),(1/(1/D36)),0))),0)</f>
        <v>1.2002312717167204E-5</v>
      </c>
      <c r="F36" s="65">
        <f>IFERROR(VLOOKUP("Pa-233",$A$4:$L$32,6)/$B36,0)</f>
        <v>4.4408633319415174E-7</v>
      </c>
      <c r="G36" s="66">
        <f>IFERROR(VLOOKUP("Pa-233",$A$4:$L$32,7)/$B36,0)</f>
        <v>0.25858521535403944</v>
      </c>
      <c r="H36" s="67">
        <f>IFERROR(IF(AND(F36&lt;&gt;0,G36&lt;&gt;0),(1/((1/F36)+(1/G36))),IF(AND(F36&lt;&gt;0,G36=0),(1/(1/F36)),IF(AND(F36=0,G36&lt;&gt;0),(1/(1/G36)),0))),0)</f>
        <v>4.4408557053518705E-7</v>
      </c>
      <c r="I36" s="65">
        <f>IFERROR(VLOOKUP("Pa-233",$A$4:$L$32,9)/$B36,0)</f>
        <v>3.9151611321062746E-17</v>
      </c>
      <c r="J36" s="66">
        <f>IFERROR(VLOOKUP("Pa-233",$A$4:$L$32,10)/$B36,0)</f>
        <v>2.2797431688780428E-11</v>
      </c>
      <c r="K36" s="66">
        <f>IFERROR(VLOOKUP("Pa-233",$A$4:$L$32,11)/$B36,0)</f>
        <v>3.915154408339942E-17</v>
      </c>
      <c r="L36" s="90">
        <f t="shared" si="64"/>
        <v>2.6645134232111197E-3</v>
      </c>
    </row>
    <row r="37" spans="1:12">
      <c r="A37" s="31" t="s">
        <v>140</v>
      </c>
      <c r="B37" s="32">
        <v>1</v>
      </c>
      <c r="C37" s="65">
        <f>IFERROR(VLOOKUP("U-233",$A$4:$L$32,3)/$B37,0)</f>
        <v>1.2002333329571657E-5</v>
      </c>
      <c r="D37" s="66">
        <f>IFERROR(VLOOKUP("U-233",$A$4:$L$32,4)/$B37,0)</f>
        <v>4.0479069387313373</v>
      </c>
      <c r="E37" s="67">
        <f t="shared" si="65"/>
        <v>1.200229774190119E-5</v>
      </c>
      <c r="F37" s="65">
        <f>IFERROR(VLOOKUP("U-233",$A$4:$L$32,6)/$B37,0)</f>
        <v>4.4408633319415174E-7</v>
      </c>
      <c r="G37" s="66">
        <f>IFERROR(VLOOKUP("U-233",$A$4:$L$32,7)/$B37,0)</f>
        <v>0.14977255673305964</v>
      </c>
      <c r="H37" s="67">
        <f t="shared" ref="H37:H46" si="67">IFERROR(IF(AND(F37&lt;&gt;0,G37&lt;&gt;0),(1/((1/F37)+(1/G37))),IF(AND(F37&lt;&gt;0,G37=0),(1/(1/F37)),IF(AND(F37=0,G37&lt;&gt;0),(1/(1/G37)),0))),0)</f>
        <v>4.4408501645034447E-7</v>
      </c>
      <c r="I37" s="65">
        <f>IFERROR(VLOOKUP("U-233",$A$4:$L$32,9)/$B37,0)</f>
        <v>3.9151611321062746E-17</v>
      </c>
      <c r="J37" s="66">
        <f>IFERROR(VLOOKUP("U-233",$A$4:$L$32,10)/$B37,0)</f>
        <v>1.3204272434141623E-11</v>
      </c>
      <c r="K37" s="67">
        <f>IFERROR(VLOOKUP("U-233",$A$4:$L$32,11)/$B37,0)</f>
        <v>3.915149523408168E-17</v>
      </c>
      <c r="L37" s="64">
        <f t="shared" si="64"/>
        <v>2.6645100987020645E-3</v>
      </c>
    </row>
    <row r="38" spans="1:12">
      <c r="A38" s="31" t="s">
        <v>141</v>
      </c>
      <c r="B38" s="32">
        <v>1</v>
      </c>
      <c r="C38" s="65">
        <f>IFERROR(VLOOKUP("Th-229",$A$4:$L$32,3)/$B38,0)</f>
        <v>1.2002333329571657E-5</v>
      </c>
      <c r="D38" s="66">
        <f>IFERROR(VLOOKUP("Th-229",$A$4:$L$32,4)/$B38,0)</f>
        <v>4.8935045197429119</v>
      </c>
      <c r="E38" s="67">
        <f t="shared" si="65"/>
        <v>1.2002303891435561E-5</v>
      </c>
      <c r="F38" s="65">
        <f>IFERROR(VLOOKUP("Th-229",$A$4:$L$32,6)/$B38,0)</f>
        <v>4.4408633319415174E-7</v>
      </c>
      <c r="G38" s="66">
        <f>IFERROR(VLOOKUP("Th-229",$A$4:$L$32,7)/$B38,0)</f>
        <v>0.18105966723048791</v>
      </c>
      <c r="H38" s="67">
        <f t="shared" si="67"/>
        <v>4.4408524398311631E-7</v>
      </c>
      <c r="I38" s="65">
        <f>IFERROR(VLOOKUP("Th-229",$A$4:$L$32,9)/$B38,0)</f>
        <v>3.8479480654606732E-17</v>
      </c>
      <c r="J38" s="66">
        <f>IFERROR(VLOOKUP("Th-229",$A$4:$L$32,10)/$B38,0)</f>
        <v>1.5688575490295777E-11</v>
      </c>
      <c r="K38" s="67">
        <f>IFERROR(VLOOKUP("Th-229",$A$4:$L$32,11)/$B38,0)</f>
        <v>3.847938627594241E-17</v>
      </c>
      <c r="L38" s="64">
        <f t="shared" si="64"/>
        <v>2.6645114638986951E-3</v>
      </c>
    </row>
    <row r="39" spans="1:12">
      <c r="A39" s="31" t="s">
        <v>142</v>
      </c>
      <c r="B39" s="32">
        <v>1</v>
      </c>
      <c r="C39" s="65">
        <f>IFERROR(VLOOKUP("Ra-225",$A$4:$L$32,3)/$B39,0)</f>
        <v>1.2002333329571657E-5</v>
      </c>
      <c r="D39" s="66">
        <f>IFERROR(VLOOKUP("Ra-225",$A$4:$L$32,4)/$B39,0)</f>
        <v>5.3487142425096952</v>
      </c>
      <c r="E39" s="67">
        <f t="shared" si="65"/>
        <v>1.2002306396803225E-5</v>
      </c>
      <c r="F39" s="65">
        <f>IFERROR(VLOOKUP("Ra-225",$A$4:$L$32,6)/$B39,0)</f>
        <v>4.4408633319415174E-7</v>
      </c>
      <c r="G39" s="66">
        <f>IFERROR(VLOOKUP("Ra-225",$A$4:$L$32,7)/$B39,0)</f>
        <v>0.19790242697285892</v>
      </c>
      <c r="H39" s="67">
        <f t="shared" si="67"/>
        <v>4.4408533668171988E-7</v>
      </c>
      <c r="I39" s="65">
        <f>IFERROR(VLOOKUP("Ra-225",$A$4:$L$32,9)/$B39,0)</f>
        <v>3.7807349988150725E-17</v>
      </c>
      <c r="J39" s="66">
        <f>IFERROR(VLOOKUP("Ra-225",$A$4:$L$32,10)/$B39,0)</f>
        <v>1.684844986390554E-11</v>
      </c>
      <c r="K39" s="67">
        <f>IFERROR(VLOOKUP("Ra-225",$A$4:$L$32,11)/$B39,0)</f>
        <v>3.7807265149930156E-17</v>
      </c>
      <c r="L39" s="64">
        <f t="shared" si="64"/>
        <v>2.6645120200903161E-3</v>
      </c>
    </row>
    <row r="40" spans="1:12">
      <c r="A40" s="31" t="s">
        <v>143</v>
      </c>
      <c r="B40" s="32">
        <v>1</v>
      </c>
      <c r="C40" s="65">
        <f>IFERROR(VLOOKUP("Ac-225",$A$4:$L$32,3)/$B40,0)</f>
        <v>1.2002333329571657E-5</v>
      </c>
      <c r="D40" s="66">
        <f>IFERROR(VLOOKUP("Ac-225",$A$4:$L$32,4)/$B40,0)</f>
        <v>4.5584537598325863</v>
      </c>
      <c r="E40" s="67">
        <f t="shared" si="65"/>
        <v>1.2002301727709786E-5</v>
      </c>
      <c r="F40" s="65">
        <f>IFERROR(VLOOKUP("Ac-225",$A$4:$L$32,6)/$B40,0)</f>
        <v>4.4408633319415174E-7</v>
      </c>
      <c r="G40" s="66">
        <f>IFERROR(VLOOKUP("Ac-225",$A$4:$L$32,7)/$B40,0)</f>
        <v>0.16866278911380586</v>
      </c>
      <c r="H40" s="67">
        <f t="shared" si="67"/>
        <v>4.4408516392526261E-7</v>
      </c>
      <c r="I40" s="65">
        <f>IFERROR(VLOOKUP("Ac-225",$A$4:$L$32,9)/$B40,0)</f>
        <v>3.7807349988150725E-17</v>
      </c>
      <c r="J40" s="66">
        <f>IFERROR(VLOOKUP("Ac-225",$A$4:$L$32,10)/$B40,0)</f>
        <v>1.4359129343472649E-11</v>
      </c>
      <c r="K40" s="67">
        <f>IFERROR(VLOOKUP("Ac-225",$A$4:$L$32,11)/$B40,0)</f>
        <v>3.7807250442285825E-17</v>
      </c>
      <c r="L40" s="64">
        <f t="shared" si="64"/>
        <v>2.6645109835515728E-3</v>
      </c>
    </row>
    <row r="41" spans="1:12">
      <c r="A41" s="31" t="s">
        <v>144</v>
      </c>
      <c r="B41" s="32">
        <v>1</v>
      </c>
      <c r="C41" s="65">
        <f>IFERROR(VLOOKUP("Fr-221",$A$4:$L$32,3)/$B41,0)</f>
        <v>1.2002333329571657E-5</v>
      </c>
      <c r="D41" s="66">
        <f>IFERROR(VLOOKUP("Fr-221",$A$4:$L$32,4)/$B41,0)</f>
        <v>8.6641843722845397</v>
      </c>
      <c r="E41" s="67">
        <f t="shared" si="65"/>
        <v>1.2002316702985747E-5</v>
      </c>
      <c r="F41" s="65">
        <f>IFERROR(VLOOKUP("Fr-221",$A$4:$L$32,6)/$B41,0)</f>
        <v>4.4408633319415174E-7</v>
      </c>
      <c r="G41" s="66">
        <f>IFERROR(VLOOKUP("Fr-221",$A$4:$L$32,7)/$B41,0)</f>
        <v>0.32057482177452828</v>
      </c>
      <c r="H41" s="67">
        <f t="shared" si="67"/>
        <v>4.4408571801047317E-7</v>
      </c>
      <c r="I41" s="65">
        <f>IFERROR(VLOOKUP("Fr-221",$A$4:$L$32,9)/$B41,0)</f>
        <v>3.7135219321694711E-17</v>
      </c>
      <c r="J41" s="66">
        <f>IFERROR(VLOOKUP("Fr-221",$A$4:$L$32,10)/$B41,0)</f>
        <v>2.6806986447848367E-11</v>
      </c>
      <c r="K41" s="67">
        <f>IFERROR(VLOOKUP("Fr-221",$A$4:$L$32,11)/$B41,0)</f>
        <v>3.7135167879037902E-17</v>
      </c>
      <c r="L41" s="64">
        <f t="shared" si="64"/>
        <v>2.6645143080628363E-3</v>
      </c>
    </row>
    <row r="42" spans="1:12">
      <c r="A42" s="31" t="s">
        <v>145</v>
      </c>
      <c r="B42" s="32">
        <v>1</v>
      </c>
      <c r="C42" s="65">
        <f>IFERROR(VLOOKUP("At-217",$A$4:$L$32,3)/$B42,0)</f>
        <v>1.2002333329571657E-5</v>
      </c>
      <c r="D42" s="66">
        <f>IFERROR(VLOOKUP("At-217",$A$4:$L$32,4)/$B42,0)</f>
        <v>9.1664559300981345</v>
      </c>
      <c r="E42" s="67">
        <f t="shared" si="65"/>
        <v>1.2002317614030357E-5</v>
      </c>
      <c r="F42" s="65">
        <f>IFERROR(VLOOKUP("At-217",$A$4:$L$32,6)/$B42,0)</f>
        <v>4.4408633319415174E-7</v>
      </c>
      <c r="G42" s="66">
        <f>IFERROR(VLOOKUP("At-217",$A$4:$L$32,7)/$B42,0)</f>
        <v>0.33915886941363133</v>
      </c>
      <c r="H42" s="67">
        <f t="shared" si="67"/>
        <v>4.4408575171912371E-7</v>
      </c>
      <c r="I42" s="65">
        <f>IFERROR(VLOOKUP("At-217",$A$4:$L$32,9)/$B42,0)</f>
        <v>3.6463088655238697E-17</v>
      </c>
      <c r="J42" s="66">
        <f>IFERROR(VLOOKUP("At-217",$A$4:$L$32,10)/$B42,0)</f>
        <v>2.7847693115638136E-11</v>
      </c>
      <c r="K42" s="67">
        <f>IFERROR(VLOOKUP("At-217",$A$4:$L$32,11)/$B42,0)</f>
        <v>3.6463040911424227E-17</v>
      </c>
      <c r="L42" s="64">
        <f t="shared" si="64"/>
        <v>2.6645145103147395E-3</v>
      </c>
    </row>
    <row r="43" spans="1:12">
      <c r="A43" s="31" t="s">
        <v>146</v>
      </c>
      <c r="B43" s="33">
        <v>0.99987999999999999</v>
      </c>
      <c r="C43" s="65">
        <f>IFERROR(VLOOKUP("Bi-213",$A$4:$L$32,3)/$B43,0)</f>
        <v>1.2003773782425548E-5</v>
      </c>
      <c r="D43" s="66">
        <f>IFERROR(VLOOKUP("Bi-213",$A$4:$L$32,4)/$B43,0)</f>
        <v>10.767001983672449</v>
      </c>
      <c r="E43" s="67">
        <f t="shared" si="65"/>
        <v>1.2003760399830785E-5</v>
      </c>
      <c r="F43" s="65">
        <f>IFERROR(VLOOKUP("Bi-213",$A$4:$L$32,6)/$B43,0)</f>
        <v>4.4413962994974573E-7</v>
      </c>
      <c r="G43" s="66">
        <f>IFERROR(VLOOKUP("Bi-213",$A$4:$L$32,7)/$B43,0)</f>
        <v>0.39837907339588097</v>
      </c>
      <c r="H43" s="67">
        <f t="shared" si="67"/>
        <v>4.4413913479373947E-7</v>
      </c>
      <c r="I43" s="65">
        <f>IFERROR(VLOOKUP("Bi-213",$A$4:$L$32,9)/$B43,0)</f>
        <v>3.5795253419192987E-17</v>
      </c>
      <c r="J43" s="66">
        <f>IFERROR(VLOOKUP("Bi-213",$A$4:$L$32,10)/$B43,0)</f>
        <v>3.2107199915311244E-11</v>
      </c>
      <c r="K43" s="67">
        <f>IFERROR(VLOOKUP("Bi-213",$A$4:$L$32,11)/$B43,0)</f>
        <v>3.5795213512295393E-17</v>
      </c>
      <c r="L43" s="64">
        <f t="shared" si="64"/>
        <v>2.6648348087624347E-3</v>
      </c>
    </row>
    <row r="44" spans="1:12">
      <c r="A44" s="31" t="s">
        <v>147</v>
      </c>
      <c r="B44" s="32">
        <v>0.97898250799999997</v>
      </c>
      <c r="C44" s="65">
        <f>IFERROR(VLOOKUP("Po-213",$A$4:$L$32,3)/$B44,0)</f>
        <v>1.2260007948550248E-5</v>
      </c>
      <c r="D44" s="66">
        <f>IFERROR(VLOOKUP("Po-213",$A$4:$L$32,4)/$B44,0)</f>
        <v>11.909015785507076</v>
      </c>
      <c r="E44" s="67">
        <f t="shared" si="65"/>
        <v>1.2259995327218405E-5</v>
      </c>
      <c r="F44" s="65">
        <f>IFERROR(VLOOKUP("Po-213",$A$4:$L$32,6)/$B44,0)</f>
        <v>4.5362029409635965E-7</v>
      </c>
      <c r="G44" s="66">
        <f>IFERROR(VLOOKUP("Po-213",$A$4:$L$32,7)/$B44,0)</f>
        <v>0.4406335840637623</v>
      </c>
      <c r="H44" s="67">
        <f t="shared" si="67"/>
        <v>4.5361982710708144E-7</v>
      </c>
      <c r="I44" s="65">
        <f>IFERROR(VLOOKUP("Po-213",$A$4:$L$32,9)/$B44,0)</f>
        <v>3.6559343702576842E-17</v>
      </c>
      <c r="J44" s="66">
        <f>IFERROR(VLOOKUP("Po-213",$A$4:$L$32,10)/$B44,0)</f>
        <v>3.5512685072382104E-11</v>
      </c>
      <c r="K44" s="67">
        <f>IFERROR(VLOOKUP("Po-213",$A$4:$L$32,11)/$B44,0)</f>
        <v>3.6559306065765281E-17</v>
      </c>
      <c r="L44" s="64">
        <f t="shared" si="64"/>
        <v>2.7217189626424858E-3</v>
      </c>
    </row>
    <row r="45" spans="1:12">
      <c r="A45" s="31" t="s">
        <v>148</v>
      </c>
      <c r="B45" s="32">
        <v>2.0897492E-2</v>
      </c>
      <c r="C45" s="65">
        <f>IFERROR(VLOOKUP("Tl-209",$A$4:$L$32,3)/$B45,0)</f>
        <v>5.7434324317825591E-4</v>
      </c>
      <c r="D45" s="66">
        <f>IFERROR(VLOOKUP("Tl-209",$A$4:$L$32,4)/$B45,0)</f>
        <v>555.34117601576429</v>
      </c>
      <c r="E45" s="67">
        <f t="shared" si="65"/>
        <v>5.7434264918336758E-4</v>
      </c>
      <c r="F45" s="65">
        <f>IFERROR(VLOOKUP("Tl-209",$A$4:$L$32,6)/$B45,0)</f>
        <v>2.125069999759549E-5</v>
      </c>
      <c r="G45" s="66">
        <f>IFERROR(VLOOKUP("Tl-209",$A$4:$L$32,7)/$B45,0)</f>
        <v>20.5476235125833</v>
      </c>
      <c r="H45" s="67">
        <f t="shared" si="67"/>
        <v>2.1250678019784622E-5</v>
      </c>
      <c r="I45" s="65">
        <f>IFERROR(VLOOKUP("Tl-209",$A$4:$L$32,9)/$B45,0)</f>
        <v>1.6805283295395768E-15</v>
      </c>
      <c r="J45" s="66">
        <f>IFERROR(VLOOKUP("Tl-209",$A$4:$L$32,10)/$B45,0)</f>
        <v>1.6249282810221265E-9</v>
      </c>
      <c r="K45" s="67">
        <f>IFERROR(VLOOKUP("Tl-209",$A$4:$L$32,11)/$B45,0)</f>
        <v>1.6805265915105333E-15</v>
      </c>
      <c r="L45" s="64">
        <f t="shared" si="64"/>
        <v>0.12750406811870763</v>
      </c>
    </row>
    <row r="46" spans="1:12">
      <c r="A46" s="31" t="s">
        <v>149</v>
      </c>
      <c r="B46" s="32">
        <v>0.99987999999999999</v>
      </c>
      <c r="C46" s="65">
        <f>IFERROR(VLOOKUP("Pb-209",$A$4:$L$32,3)/$B46,0)</f>
        <v>1.2003773782425548E-5</v>
      </c>
      <c r="D46" s="66">
        <f>IFERROR(VLOOKUP("Pb-209",$A$4:$L$32,4)/$B46,0)</f>
        <v>2.8113838512922507</v>
      </c>
      <c r="E46" s="67">
        <f t="shared" si="65"/>
        <v>1.2003722530096653E-5</v>
      </c>
      <c r="F46" s="65">
        <f>IFERROR(VLOOKUP("Pb-209",$A$4:$L$32,6)/$B46,0)</f>
        <v>4.4413962994974573E-7</v>
      </c>
      <c r="G46" s="66">
        <f>IFERROR(VLOOKUP("Pb-209",$A$4:$L$32,7)/$B46,0)</f>
        <v>0.10402120249781337</v>
      </c>
      <c r="H46" s="67">
        <f t="shared" si="67"/>
        <v>4.4413773361357657E-7</v>
      </c>
      <c r="I46" s="65">
        <f>IFERROR(VLOOKUP("Pb-209",$A$4:$L$32,9)/$B46,0)</f>
        <v>3.5123042087377156E-17</v>
      </c>
      <c r="J46" s="66">
        <f>IFERROR(VLOOKUP("Pb-209",$A$4:$L$32,10)/$B46,0)</f>
        <v>8.2261091488811266E-12</v>
      </c>
      <c r="K46" s="67">
        <f>IFERROR(VLOOKUP("Pb-209",$A$4:$L$32,11)/$B46,0)</f>
        <v>3.512289212306281E-17</v>
      </c>
      <c r="L46" s="64">
        <f t="shared" si="64"/>
        <v>2.6648264016814571E-3</v>
      </c>
    </row>
    <row r="47" spans="1:12">
      <c r="A47" s="30" t="s">
        <v>17</v>
      </c>
      <c r="B47" s="30" t="s">
        <v>50</v>
      </c>
      <c r="C47" s="71">
        <f>IFERROR(1/SUM(1/C48,1/C49),0)</f>
        <v>6.174071538213497E-6</v>
      </c>
      <c r="D47" s="72">
        <f>IFERROR(1/SUM(1/D48,1/D49),0)</f>
        <v>5.6660391478266767</v>
      </c>
      <c r="E47" s="73">
        <f>IFERROR(1/SUM(1/E48,1/E49),".")</f>
        <v>6.1740648105653411E-6</v>
      </c>
      <c r="F47" s="71">
        <f>IFERROR(1/SUM(1/F48,1/F49),0)</f>
        <v>2.2844064691389965E-7</v>
      </c>
      <c r="G47" s="72">
        <f>IFERROR(1/SUM(1/G48,1/G49),0)</f>
        <v>0.2096434484695873</v>
      </c>
      <c r="H47" s="73">
        <f>IFERROR(1/SUM(1/H48,1/H49),".")</f>
        <v>2.2844039799091789E-7</v>
      </c>
      <c r="I47" s="68">
        <f>IFERROR(C47*Isospec!$C$11*Isospec!$F$11*s_SSLcm_m,".")</f>
        <v>1.1841869210293489E-17</v>
      </c>
      <c r="J47" s="69">
        <f>IFERROR(D47*Isospec!$C$11*Isospec!$F$11*s_SSLcm_m,".")</f>
        <v>1.0867463085531565E-11</v>
      </c>
      <c r="K47" s="70">
        <f>IFERROR(E47*Isospec!$C$11*Isospec!$F$11*s_SSLcm_m,".")</f>
        <v>1.1841856306664326E-17</v>
      </c>
      <c r="L47" s="63">
        <f t="shared" si="64"/>
        <v>1.3706423879455058E-3</v>
      </c>
    </row>
    <row r="48" spans="1:12">
      <c r="A48" s="31" t="s">
        <v>150</v>
      </c>
      <c r="B48" s="32">
        <v>1</v>
      </c>
      <c r="C48" s="65">
        <f>IFERROR(VLOOKUP("Cs-137",$A$4:$L$32,3)/$B48,0)</f>
        <v>1.2002333329571657E-5</v>
      </c>
      <c r="D48" s="66">
        <f>IFERROR(VLOOKUP("Cs-137",$A$4:$L$32,4)/$B48,0)</f>
        <v>10.720092528419856</v>
      </c>
      <c r="E48" s="67">
        <f>IFERROR(IF(AND(C48&lt;&gt;0,D48&lt;&gt;0),(1/((1/C48)+(1/D48))),IF(AND(C48&lt;&gt;0,D48=0),(1/(1/C48)),IF(AND(C48=0,D48&lt;&gt;0),(1/(1/D48)),0))),0)</f>
        <v>1.2002319891642489E-5</v>
      </c>
      <c r="F48" s="65">
        <f>IFERROR(VLOOKUP("Cs-137",$A$4:$L$32,6)/$B48,0)</f>
        <v>4.4408633319415174E-7</v>
      </c>
      <c r="G48" s="66">
        <f>IFERROR(VLOOKUP("Cs-137",$A$4:$L$32,7)/$B48,0)</f>
        <v>0.39664342355153509</v>
      </c>
      <c r="H48" s="67">
        <f>IFERROR(IF(AND(F48&lt;&gt;0,G48&lt;&gt;0),(1/((1/F48)+(1/G48))),IF(AND(F48&lt;&gt;0,G48=0),(1/(1/F48)),IF(AND(F48=0,G48&lt;&gt;0),(1/(1/G48)),0))),0)</f>
        <v>4.4408583599077262E-7</v>
      </c>
      <c r="I48" s="65">
        <f>IFERROR(VLOOKUP("Cs-137",$A$4:$L$32,9)/$B48,0)</f>
        <v>2.3020475326118442E-17</v>
      </c>
      <c r="J48" s="66">
        <f>IFERROR(VLOOKUP("Cs-137",$A$4:$L$32,10)/$B48,0)</f>
        <v>2.0561137469509284E-11</v>
      </c>
      <c r="K48" s="67">
        <f>IFERROR(VLOOKUP("Cs-137",$A$4:$L$32,11)/$B48,0)</f>
        <v>2.3020449552170297E-17</v>
      </c>
      <c r="L48" s="64">
        <f t="shared" si="64"/>
        <v>2.6645150159446324E-3</v>
      </c>
    </row>
    <row r="49" spans="1:12">
      <c r="A49" s="31" t="s">
        <v>151</v>
      </c>
      <c r="B49" s="32">
        <v>0.94399</v>
      </c>
      <c r="C49" s="65">
        <f>IFERROR(VLOOKUP("Ba-137m",$A$4:$L$32,3)/$B49,0)</f>
        <v>1.271447084139838E-5</v>
      </c>
      <c r="D49" s="66">
        <f>IFERROR(VLOOKUP("Ba-137m",$A$4:$L$32,4)/$B49,0)</f>
        <v>12.018168262247807</v>
      </c>
      <c r="E49" s="67">
        <f>IFERROR(IF(AND(C49&lt;&gt;0,D49&lt;&gt;0),(1/((1/C49)+(1/D49))),IF(AND(C49&lt;&gt;0,D49=0),(1/(1/C49)),IF(AND(C49=0,D49&lt;&gt;0),(1/(1/D49)),0))),0)</f>
        <v>1.2714457390297162E-5</v>
      </c>
      <c r="F49" s="65">
        <f>IFERROR(VLOOKUP("Ba-137m",$A$4:$L$32,6)/$B49,0)</f>
        <v>4.7043542113174055E-7</v>
      </c>
      <c r="G49" s="66">
        <f>IFERROR(VLOOKUP("Ba-137m",$A$4:$L$32,7)/$B49,0)</f>
        <v>0.44467222570316933</v>
      </c>
      <c r="H49" s="67">
        <f>IFERROR(IF(AND(F49&lt;&gt;0,G49&lt;&gt;0),(1/((1/F49)+(1/G49))),IF(AND(F49&lt;&gt;0,G49=0),(1/(1/F49)),IF(AND(F49=0,G49&lt;&gt;0),(1/(1/G49)),0))),0)</f>
        <v>4.7043492344099545E-7</v>
      </c>
      <c r="I49" s="65">
        <f>IFERROR(VLOOKUP("Ba-137m",$A$4:$L$32,9)/$B49,0)</f>
        <v>2.4386355073802098E-17</v>
      </c>
      <c r="J49" s="66">
        <f>IFERROR(VLOOKUP("Ba-137m",$A$4:$L$32,10)/$B49,0)</f>
        <v>2.3050846726991296E-11</v>
      </c>
      <c r="K49" s="67">
        <f>IFERROR(VLOOKUP("Ba-137m",$A$4:$L$32,11)/$B49,0)</f>
        <v>2.4386329274589952E-17</v>
      </c>
      <c r="L49" s="64">
        <f t="shared" si="64"/>
        <v>2.8226095406459701E-3</v>
      </c>
    </row>
    <row r="50" spans="1:12">
      <c r="A50" s="30" t="s">
        <v>27</v>
      </c>
      <c r="B50" s="30" t="s">
        <v>50</v>
      </c>
      <c r="C50" s="71">
        <f t="shared" ref="C50:H50" si="68">IFERROR(1/SUM(1/C51,1/C52,1/C53,1/C56,1/C54,1/C57,1/C55,1/C58,1/C59,1/C60,1/C61,1/C63,1/C62,1/C64),0)</f>
        <v>1.3335923909503544E-6</v>
      </c>
      <c r="D50" s="72">
        <f t="shared" si="68"/>
        <v>0.76569146768019614</v>
      </c>
      <c r="E50" s="73">
        <f t="shared" si="68"/>
        <v>1.3335900682581962E-6</v>
      </c>
      <c r="F50" s="71">
        <f t="shared" si="68"/>
        <v>4.9342918465163152E-8</v>
      </c>
      <c r="G50" s="72">
        <f t="shared" si="68"/>
        <v>2.8330584304167277E-2</v>
      </c>
      <c r="H50" s="73">
        <f t="shared" si="68"/>
        <v>4.9342832525553318E-8</v>
      </c>
      <c r="I50" s="68">
        <f>IFERROR(C50*Isospec!$C$24*Isospec!$F$24*s_SSLcm_m,".")</f>
        <v>4.2194863249669216E-18</v>
      </c>
      <c r="J50" s="69">
        <f>IFERROR(D50*Isospec!$C$24*Isospec!$F$24*s_SSLcm_m,".")</f>
        <v>2.4226478037401407E-12</v>
      </c>
      <c r="K50" s="70">
        <f>IFERROR(E50*Isospec!$C$24*Isospec!$F$24*s_SSLcm_m,".")</f>
        <v>4.2194789759689333E-18</v>
      </c>
      <c r="L50" s="63">
        <f t="shared" si="64"/>
        <v>2.9605699515331956E-4</v>
      </c>
    </row>
    <row r="51" spans="1:12">
      <c r="A51" s="31" t="s">
        <v>152</v>
      </c>
      <c r="B51" s="32">
        <v>1</v>
      </c>
      <c r="C51" s="65">
        <f>IFERROR(VLOOKUP("Ra-226",$A$4:$L$32,3)/$B51,0)</f>
        <v>1.2002333329571657E-5</v>
      </c>
      <c r="D51" s="66">
        <f>IFERROR(VLOOKUP("Ra-226",$A$4:$L$32,4)/$B51,0)</f>
        <v>8.006145052870524</v>
      </c>
      <c r="E51" s="67">
        <f t="shared" ref="E51:E64" si="69">IFERROR(IF(AND(C51&lt;&gt;0,D51&lt;&gt;0),(1/((1/C51)+(1/D51))),IF(AND(C51&lt;&gt;0,D51=0),(1/(1/C51)),IF(AND(C51=0,D51&lt;&gt;0),(1/(1/D51)),0))),0)</f>
        <v>1.2002315336419091E-5</v>
      </c>
      <c r="F51" s="65">
        <f>IFERROR(VLOOKUP("Ra-226",$A$4:$L$32,6)/$B51,0)</f>
        <v>4.4408633319415174E-7</v>
      </c>
      <c r="G51" s="66">
        <f>IFERROR(VLOOKUP("Ra-226",$A$4:$L$32,7)/$B51,0)</f>
        <v>0.29622736695620971</v>
      </c>
      <c r="H51" s="67">
        <f t="shared" ref="H51:H64" si="70">IFERROR(IF(AND(F51&lt;&gt;0,G51&lt;&gt;0),(1/((1/F51)+(1/G51))),IF(AND(F51&lt;&gt;0,G51=0),(1/(1/F51)),IF(AND(F51=0,G51&lt;&gt;0),(1/(1/G51)),0))),0)</f>
        <v>4.4408566744750694E-7</v>
      </c>
      <c r="I51" s="65">
        <f>IFERROR(VLOOKUP("Ra-226",$A$4:$L$32,9)/$B51,0)</f>
        <v>3.7975382654764725E-17</v>
      </c>
      <c r="J51" s="66">
        <f>IFERROR(VLOOKUP("Ra-226",$A$4:$L$32,10)/$B51,0)</f>
        <v>2.5331442947282339E-11</v>
      </c>
      <c r="K51" s="67">
        <f>IFERROR(VLOOKUP("Ra-226",$A$4:$L$32,11)/$B51,0)</f>
        <v>3.7975325724430007E-17</v>
      </c>
      <c r="L51" s="64">
        <f t="shared" si="64"/>
        <v>2.6645140046850386E-3</v>
      </c>
    </row>
    <row r="52" spans="1:12">
      <c r="A52" s="31" t="s">
        <v>153</v>
      </c>
      <c r="B52" s="32">
        <v>1</v>
      </c>
      <c r="C52" s="65">
        <f>IFERROR(VLOOKUP("Rn-222",$A$4:$L$32,3)/$B52,0)</f>
        <v>1.2002333329571657E-5</v>
      </c>
      <c r="D52" s="66">
        <f>IFERROR(VLOOKUP("Rn-222",$A$4:$L$32,4)/$B52,0)</f>
        <v>11.345030657879308</v>
      </c>
      <c r="E52" s="67">
        <f t="shared" si="69"/>
        <v>1.2002320631866616E-5</v>
      </c>
      <c r="F52" s="65">
        <f>IFERROR(VLOOKUP("Rn-222",$A$4:$L$32,6)/$B52,0)</f>
        <v>4.4408633319415174E-7</v>
      </c>
      <c r="G52" s="66">
        <f>IFERROR(VLOOKUP("Rn-222",$A$4:$L$32,7)/$B52,0)</f>
        <v>0.41976613434153481</v>
      </c>
      <c r="H52" s="67">
        <f t="shared" si="70"/>
        <v>4.4408586337906538E-7</v>
      </c>
      <c r="I52" s="65">
        <f>IFERROR(VLOOKUP("Rn-222",$A$4:$L$32,9)/$B52,0)</f>
        <v>3.7303251988308711E-17</v>
      </c>
      <c r="J52" s="66">
        <f>IFERROR(VLOOKUP("Rn-222",$A$4:$L$32,10)/$B52,0)</f>
        <v>3.5260355284688885E-11</v>
      </c>
      <c r="K52" s="67">
        <f>IFERROR(VLOOKUP("Rn-222",$A$4:$L$32,11)/$B52,0)</f>
        <v>3.7303212523841445E-17</v>
      </c>
      <c r="L52" s="64">
        <f t="shared" si="64"/>
        <v>2.6645151802743888E-3</v>
      </c>
    </row>
    <row r="53" spans="1:12">
      <c r="A53" s="31" t="s">
        <v>154</v>
      </c>
      <c r="B53" s="32">
        <v>1</v>
      </c>
      <c r="C53" s="65">
        <f>IFERROR(VLOOKUP("Po-218",$A$4:$L$32,3)/$B53,0)</f>
        <v>1.2002333329571657E-5</v>
      </c>
      <c r="D53" s="66">
        <f>IFERROR(VLOOKUP("Po-218",$A$4:$L$32,4)/$B53,0)</f>
        <v>2.8110464852300954</v>
      </c>
      <c r="E53" s="67">
        <f t="shared" si="69"/>
        <v>1.2002282083393041E-5</v>
      </c>
      <c r="F53" s="65">
        <f>IFERROR(VLOOKUP("Po-218",$A$4:$L$32,6)/$B53,0)</f>
        <v>4.4408633319415174E-7</v>
      </c>
      <c r="G53" s="66">
        <f>IFERROR(VLOOKUP("Po-218",$A$4:$L$32,7)/$B53,0)</f>
        <v>0.10400871995351363</v>
      </c>
      <c r="H53" s="67">
        <f t="shared" si="70"/>
        <v>4.4408443708554296E-7</v>
      </c>
      <c r="I53" s="65">
        <f>IFERROR(VLOOKUP("Po-218",$A$4:$L$32,9)/$B53,0)</f>
        <v>3.6631121321852698E-17</v>
      </c>
      <c r="J53" s="66">
        <f>IFERROR(VLOOKUP("Po-218",$A$4:$L$32,10)/$B53,0)</f>
        <v>8.5793138729222515E-12</v>
      </c>
      <c r="K53" s="67">
        <f>IFERROR(VLOOKUP("Po-218",$A$4:$L$32,11)/$B53,0)</f>
        <v>3.6630964918515564E-17</v>
      </c>
      <c r="L53" s="64">
        <f t="shared" si="64"/>
        <v>2.664506622513255E-3</v>
      </c>
    </row>
    <row r="54" spans="1:12">
      <c r="A54" s="31" t="s">
        <v>156</v>
      </c>
      <c r="B54" s="32">
        <v>2.0000000000000001E-4</v>
      </c>
      <c r="C54" s="65">
        <f>IFERROR(VLOOKUP("At-218",$A$4:$L$32,3)/$B54,0)</f>
        <v>6.0011666647858279E-2</v>
      </c>
      <c r="D54" s="66">
        <f>IFERROR(VLOOKUP("At-218",$A$4:$L$32,4)/$B54,0)</f>
        <v>14055.232426150476</v>
      </c>
      <c r="E54" s="67">
        <f>IFERROR(IF(AND(C54&lt;&gt;0,D54&lt;&gt;0),(1/((1/C54)+(1/D54))),IF(AND(C54&lt;&gt;0,D54=0),(1/(1/C54)),IF(AND(C54=0,D54&lt;&gt;0),(1/(1/D54)),0))),0)</f>
        <v>6.00114104169652E-2</v>
      </c>
      <c r="F54" s="65">
        <f>IFERROR(VLOOKUP("At-218",$A$4:$L$32,6)/$B54,0)</f>
        <v>2.2204316659707587E-3</v>
      </c>
      <c r="G54" s="66">
        <f>IFERROR(VLOOKUP("At-218",$A$4:$L$32,7)/$B54,0)</f>
        <v>520.04359976756814</v>
      </c>
      <c r="H54" s="67">
        <f>IFERROR(IF(AND(F54&lt;&gt;0,G54&lt;&gt;0),(1/((1/F54)+(1/G54))),IF(AND(F54&lt;&gt;0,G54=0),(1/(1/F54)),IF(AND(F54=0,G54&lt;&gt;0),(1/(1/G54)),0))),0)</f>
        <v>2.2204221854277145E-3</v>
      </c>
      <c r="I54" s="65">
        <f>IFERROR(VLOOKUP("At-218",$A$4:$L$32,9)/$B54,0)</f>
        <v>1.8315560660926347E-13</v>
      </c>
      <c r="J54" s="66">
        <f>IFERROR(VLOOKUP("At-218",$A$4:$L$32,10)/$B54,0)</f>
        <v>4.2896569364611257E-8</v>
      </c>
      <c r="K54" s="67">
        <f>IFERROR(VLOOKUP("At-218",$A$4:$L$32,11)/$B54,0)</f>
        <v>1.8315482459257782E-13</v>
      </c>
      <c r="L54" s="64">
        <f>IF(E54&lt;&gt;".",E54*2.22*100,".")</f>
        <v>13.322533112566276</v>
      </c>
    </row>
    <row r="55" spans="1:12">
      <c r="A55" s="31" t="s">
        <v>158</v>
      </c>
      <c r="B55" s="32">
        <v>1.9999999999999999E-7</v>
      </c>
      <c r="C55" s="65">
        <f>IFERROR(VLOOKUP("Rn-218",$A$4:$L$32,3)/$B55,0)</f>
        <v>60.011666647858284</v>
      </c>
      <c r="D55" s="66">
        <f>IFERROR(VLOOKUP("Rn-218",$A$4:$L$32,4)/$B55,0)</f>
        <v>56725153.289396539</v>
      </c>
      <c r="E55" s="67">
        <f>IFERROR(IF(AND(C55&lt;&gt;0,D55&lt;&gt;0),(1/((1/C55)+(1/D55))),IF(AND(C55&lt;&gt;0,D55=0),(1/(1/C55)),IF(AND(C55=0,D55&lt;&gt;0),(1/(1/D55)),0))),0)</f>
        <v>60.011603159333092</v>
      </c>
      <c r="F55" s="65">
        <f>IFERROR(VLOOKUP("Rn-218",$A$4:$L$32,6)/$B55,0)</f>
        <v>2.220431665970759</v>
      </c>
      <c r="G55" s="66">
        <f>IFERROR(VLOOKUP("Rn-218",$A$4:$L$32,7)/$B55,0)</f>
        <v>2098830.6717076739</v>
      </c>
      <c r="H55" s="67">
        <f>IFERROR(IF(AND(F55&lt;&gt;0,G55&lt;&gt;0),(1/((1/F55)+(1/G55))),IF(AND(F55&lt;&gt;0,G55=0),(1/(1/F55)),IF(AND(F55=0,G55&lt;&gt;0),(1/(1/G55)),0))),0)</f>
        <v>2.2204293168953271</v>
      </c>
      <c r="I55" s="65">
        <f>IFERROR(VLOOKUP("Rn-218",$A$4:$L$32,9)/$B55,0)</f>
        <v>1.831556066092635E-10</v>
      </c>
      <c r="J55" s="66">
        <f>IFERROR(VLOOKUP("Rn-218",$A$4:$L$32,10)/$B55,0)</f>
        <v>1.7312516783923824E-4</v>
      </c>
      <c r="K55" s="67">
        <f>IFERROR(VLOOKUP("Rn-218",$A$4:$L$32,11)/$B55,0)</f>
        <v>1.8315541284228457E-10</v>
      </c>
      <c r="L55" s="64">
        <f>IF(E55&lt;&gt;".",E55*2.22*100,".")</f>
        <v>13322.575901371949</v>
      </c>
    </row>
    <row r="56" spans="1:12">
      <c r="A56" s="31" t="s">
        <v>155</v>
      </c>
      <c r="B56" s="32">
        <v>0.99980000000000002</v>
      </c>
      <c r="C56" s="65">
        <f>IFERROR(VLOOKUP("Pb-214",$A$4:$L$32,3)/$B56,0)</f>
        <v>1.2004734276426943E-5</v>
      </c>
      <c r="D56" s="66">
        <f>IFERROR(VLOOKUP("Pb-214",$A$4:$L$32,4)/$B56,0)</f>
        <v>9.3031173760747947</v>
      </c>
      <c r="E56" s="67">
        <f t="shared" si="69"/>
        <v>1.2004718785548643E-5</v>
      </c>
      <c r="F56" s="65">
        <f>IFERROR(VLOOKUP("Pb-214",$A$4:$L$32,6)/$B56,0)</f>
        <v>4.4417516822779727E-7</v>
      </c>
      <c r="G56" s="66">
        <f>IFERROR(VLOOKUP("Pb-214",$A$4:$L$32,7)/$B56,0)</f>
        <v>0.34421534291476774</v>
      </c>
      <c r="H56" s="67">
        <f t="shared" si="70"/>
        <v>4.4417459506530013E-7</v>
      </c>
      <c r="I56" s="65">
        <f>IFERROR(VLOOKUP("Pb-214",$A$4:$L$32,9)/$B56,0)</f>
        <v>3.5966183892175118E-17</v>
      </c>
      <c r="J56" s="66">
        <f>IFERROR(VLOOKUP("Pb-214",$A$4:$L$32,10)/$B56,0)</f>
        <v>2.7872139658720082E-11</v>
      </c>
      <c r="K56" s="67">
        <f>IFERROR(VLOOKUP("Pb-214",$A$4:$L$32,11)/$B56,0)</f>
        <v>3.5966137481503733E-17</v>
      </c>
      <c r="L56" s="64">
        <f t="shared" si="64"/>
        <v>2.6650475703917991E-3</v>
      </c>
    </row>
    <row r="57" spans="1:12">
      <c r="A57" s="31" t="s">
        <v>157</v>
      </c>
      <c r="B57" s="32">
        <v>0.99999979999999999</v>
      </c>
      <c r="C57" s="65">
        <f>IFERROR(VLOOKUP("Bi-214",$A$4:$L$32,3)/$B57,0)</f>
        <v>1.2002335730038803E-5</v>
      </c>
      <c r="D57" s="66">
        <f>IFERROR(VLOOKUP("Bi-214",$A$4:$L$32,4)/$B57,0)</f>
        <v>11.933690295733747</v>
      </c>
      <c r="E57" s="67">
        <f t="shared" si="69"/>
        <v>1.2002323658674914E-5</v>
      </c>
      <c r="F57" s="65">
        <f>IFERROR(VLOOKUP("Bi-214",$A$4:$L$32,6)/$B57,0)</f>
        <v>4.4408642201143615E-7</v>
      </c>
      <c r="G57" s="66">
        <f>IFERROR(VLOOKUP("Bi-214",$A$4:$L$32,7)/$B57,0)</f>
        <v>0.44154654094214912</v>
      </c>
      <c r="H57" s="67">
        <f t="shared" si="70"/>
        <v>4.4408597537097228E-7</v>
      </c>
      <c r="I57" s="65">
        <f>IFERROR(VLOOKUP("Bi-214",$A$4:$L$32,9)/$B57,0)</f>
        <v>3.5958997847196252E-17</v>
      </c>
      <c r="J57" s="66">
        <f>IFERROR(VLOOKUP("Bi-214",$A$4:$L$32,10)/$B57,0)</f>
        <v>3.575333612601831E-11</v>
      </c>
      <c r="K57" s="67">
        <f>IFERROR(VLOOKUP("Bi-214",$A$4:$L$32,11)/$B57,0)</f>
        <v>3.5958961681390045E-17</v>
      </c>
      <c r="L57" s="64">
        <f t="shared" si="64"/>
        <v>2.6645158522258313E-3</v>
      </c>
    </row>
    <row r="58" spans="1:12">
      <c r="A58" s="31" t="s">
        <v>159</v>
      </c>
      <c r="B58" s="32">
        <v>0.99979000004200003</v>
      </c>
      <c r="C58" s="65">
        <f>IFERROR(VLOOKUP("Po-214",$A$4:$L$32,3)/$B58,0)</f>
        <v>1.2004854348480634E-5</v>
      </c>
      <c r="D58" s="66">
        <f>IFERROR(VLOOKUP("Po-214",$A$4:$L$32,4)/$B58,0)</f>
        <v>11.715153870279451</v>
      </c>
      <c r="E58" s="67">
        <f t="shared" si="69"/>
        <v>1.2004842046774498E-5</v>
      </c>
      <c r="F58" s="65">
        <f>IFERROR(VLOOKUP("Po-214",$A$4:$L$32,6)/$B58,0)</f>
        <v>4.4417961089378388E-7</v>
      </c>
      <c r="G58" s="66">
        <f>IFERROR(VLOOKUP("Po-214",$A$4:$L$32,7)/$B58,0)</f>
        <v>0.43346069320034014</v>
      </c>
      <c r="H58" s="67">
        <f t="shared" si="70"/>
        <v>4.4417915573065687E-7</v>
      </c>
      <c r="I58" s="65">
        <f>IFERROR(VLOOKUP("Po-214",$A$4:$L$32,9)/$B58,0)</f>
        <v>3.5966543628047979E-17</v>
      </c>
      <c r="J58" s="66">
        <f>IFERROR(VLOOKUP("Po-214",$A$4:$L$32,10)/$B58,0)</f>
        <v>3.5098600995357236E-11</v>
      </c>
      <c r="K58" s="67">
        <f>IFERROR(VLOOKUP("Po-214",$A$4:$L$32,11)/$B58,0)</f>
        <v>3.5966506772136392E-17</v>
      </c>
      <c r="L58" s="64">
        <f t="shared" si="64"/>
        <v>2.6650749343839386E-3</v>
      </c>
    </row>
    <row r="59" spans="1:12">
      <c r="A59" s="31" t="s">
        <v>160</v>
      </c>
      <c r="B59" s="32">
        <v>2.0999995799999999E-4</v>
      </c>
      <c r="C59" s="65">
        <f>IFERROR(VLOOKUP("Tl-210",$A$4:$L$32,3)/$B59,0)</f>
        <v>5.715397966685145E-2</v>
      </c>
      <c r="D59" s="66">
        <f>IFERROR(VLOOKUP("Tl-210",$A$4:$L$32,4)/$B59,0)</f>
        <v>54760.656768302048</v>
      </c>
      <c r="E59" s="67">
        <f t="shared" si="69"/>
        <v>5.7153920015010594E-2</v>
      </c>
      <c r="F59" s="65">
        <f>IFERROR(VLOOKUP("Tl-210",$A$4:$L$32,6)/$B59,0)</f>
        <v>2.1146972476735054E-3</v>
      </c>
      <c r="G59" s="66">
        <f>IFERROR(VLOOKUP("Tl-210",$A$4:$L$32,7)/$B59,0)</f>
        <v>2026.1443004271775</v>
      </c>
      <c r="H59" s="67">
        <f t="shared" si="70"/>
        <v>2.1146950405553939E-3</v>
      </c>
      <c r="I59" s="65">
        <f>IFERROR(VLOOKUP("Tl-210",$A$4:$L$32,9)/$B59,0)</f>
        <v>1.6803270022054328E-13</v>
      </c>
      <c r="J59" s="66">
        <f>IFERROR(VLOOKUP("Tl-210",$A$4:$L$32,10)/$B59,0)</f>
        <v>1.6099633089880802E-7</v>
      </c>
      <c r="K59" s="67">
        <f>IFERROR(VLOOKUP("Tl-210",$A$4:$L$32,11)/$B59,0)</f>
        <v>1.6803252484413114E-13</v>
      </c>
      <c r="L59" s="64">
        <f t="shared" si="64"/>
        <v>12.688170243332353</v>
      </c>
    </row>
    <row r="60" spans="1:12">
      <c r="A60" s="31" t="s">
        <v>161</v>
      </c>
      <c r="B60" s="32">
        <v>1</v>
      </c>
      <c r="C60" s="65">
        <f>IFERROR(VLOOKUP("Pb-210",$A$4:$L$32,3)/$B60,0)</f>
        <v>1.2002333329571657E-5</v>
      </c>
      <c r="D60" s="66">
        <f>IFERROR(VLOOKUP("Pb-210",$A$4:$L$32,4)/$B60,0)</f>
        <v>3.6612761746846396</v>
      </c>
      <c r="E60" s="67">
        <f t="shared" si="69"/>
        <v>1.2002293983855507E-5</v>
      </c>
      <c r="F60" s="65">
        <f>IFERROR(VLOOKUP("Pb-210",$A$4:$L$32,6)/$B60,0)</f>
        <v>4.4408633319415174E-7</v>
      </c>
      <c r="G60" s="66">
        <f>IFERROR(VLOOKUP("Pb-210",$A$4:$L$32,7)/$B60,0)</f>
        <v>0.13546721846333179</v>
      </c>
      <c r="H60" s="67">
        <f t="shared" si="70"/>
        <v>4.4408487740265432E-7</v>
      </c>
      <c r="I60" s="65">
        <f>IFERROR(VLOOKUP("Pb-210",$A$4:$L$32,9)/$B60,0)</f>
        <v>3.5286859988940676E-17</v>
      </c>
      <c r="J60" s="66">
        <f>IFERROR(VLOOKUP("Pb-210",$A$4:$L$32,10)/$B60,0)</f>
        <v>1.0764151953572841E-11</v>
      </c>
      <c r="K60" s="67">
        <f>IFERROR(VLOOKUP("Pb-210",$A$4:$L$32,11)/$B60,0)</f>
        <v>3.5286744312535193E-17</v>
      </c>
      <c r="L60" s="64">
        <f t="shared" si="64"/>
        <v>2.6645092644159226E-3</v>
      </c>
    </row>
    <row r="61" spans="1:12">
      <c r="A61" s="31" t="s">
        <v>162</v>
      </c>
      <c r="B61" s="32">
        <v>1</v>
      </c>
      <c r="C61" s="65">
        <f>IFERROR(VLOOKUP("Bi-210",$A$4:$L$32,3)/$B61,0)</f>
        <v>1.2002333329571657E-5</v>
      </c>
      <c r="D61" s="66">
        <f>IFERROR(VLOOKUP("Bi-210",$A$4:$L$32,4)/$B61,0)</f>
        <v>9.805976111267773</v>
      </c>
      <c r="E61" s="67">
        <f t="shared" si="69"/>
        <v>1.200231863895571E-5</v>
      </c>
      <c r="F61" s="65">
        <f>IFERROR(VLOOKUP("Bi-210",$A$4:$L$32,6)/$B61,0)</f>
        <v>4.4408633319415174E-7</v>
      </c>
      <c r="G61" s="66">
        <f>IFERROR(VLOOKUP("Bi-210",$A$4:$L$32,7)/$B61,0)</f>
        <v>0.36282111611690798</v>
      </c>
      <c r="H61" s="67">
        <f t="shared" si="70"/>
        <v>4.4408578964136173E-7</v>
      </c>
      <c r="I61" s="65">
        <f>IFERROR(VLOOKUP("Bi-210",$A$4:$L$32,9)/$B61,0)</f>
        <v>3.5286859988940676E-17</v>
      </c>
      <c r="J61" s="66">
        <f>IFERROR(VLOOKUP("Bi-210",$A$4:$L$32,10)/$B61,0)</f>
        <v>2.8829569767127254E-11</v>
      </c>
      <c r="K61" s="67">
        <f>IFERROR(VLOOKUP("Bi-210",$A$4:$L$32,11)/$B61,0)</f>
        <v>3.5286816798529792E-17</v>
      </c>
      <c r="L61" s="64">
        <f t="shared" si="64"/>
        <v>2.6645147378481678E-3</v>
      </c>
    </row>
    <row r="62" spans="1:12">
      <c r="A62" s="31" t="s">
        <v>164</v>
      </c>
      <c r="B62" s="32">
        <v>1</v>
      </c>
      <c r="C62" s="65">
        <f>IFERROR(VLOOKUP("Po-210",$A$4:$L$32,3)/$B62,0)</f>
        <v>1.2002333329571657E-5</v>
      </c>
      <c r="D62" s="66">
        <f>IFERROR(VLOOKUP("Po-210",$A$4:$L$32,4)/$B62,0)</f>
        <v>11.71269368845873</v>
      </c>
      <c r="E62" s="67">
        <f>IFERROR(IF(AND(C62&lt;&gt;0,D62&lt;&gt;0),(1/((1/C62)+(1/D62))),IF(AND(C62&lt;&gt;0,D62=0),(1/(1/C62)),IF(AND(C62=0,D62&lt;&gt;0),(1/(1/D62)),0))),0)</f>
        <v>1.2002321030448877E-5</v>
      </c>
      <c r="F62" s="65">
        <f>IFERROR(VLOOKUP("Po-210",$A$4:$L$32,6)/$B62,0)</f>
        <v>4.4408633319415174E-7</v>
      </c>
      <c r="G62" s="66">
        <f>IFERROR(VLOOKUP("Po-210",$A$4:$L$32,7)/$B62,0)</f>
        <v>0.43336966647297342</v>
      </c>
      <c r="H62" s="67">
        <f>IFERROR(IF(AND(F62&lt;&gt;0,G62&lt;&gt;0),(1/((1/F62)+(1/G62))),IF(AND(F62&lt;&gt;0,G62=0),(1/(1/F62)),IF(AND(F62=0,G62&lt;&gt;0),(1/(1/G62)),0))),0)</f>
        <v>4.4408587812660906E-7</v>
      </c>
      <c r="I62" s="65">
        <f>IFERROR(VLOOKUP("Po-210",$A$4:$L$32,9)/$B62,0)</f>
        <v>3.5286859988940676E-17</v>
      </c>
      <c r="J62" s="66">
        <f>IFERROR(VLOOKUP("Po-210",$A$4:$L$32,10)/$B62,0)</f>
        <v>3.4435319444068666E-11</v>
      </c>
      <c r="K62" s="67">
        <f>IFERROR(VLOOKUP("Po-210",$A$4:$L$32,11)/$B62,0)</f>
        <v>3.5286823829519701E-17</v>
      </c>
      <c r="L62" s="64">
        <f>IF(E62&lt;&gt;".",E62*2.22*100,".")</f>
        <v>2.6645152687596509E-3</v>
      </c>
    </row>
    <row r="63" spans="1:12">
      <c r="A63" s="31" t="s">
        <v>163</v>
      </c>
      <c r="B63" s="34">
        <v>1.9000000000000001E-8</v>
      </c>
      <c r="C63" s="65">
        <f>IFERROR(VLOOKUP("Hg-206",$A$4:$L$32,3)/$B63,0)</f>
        <v>631.70175418798192</v>
      </c>
      <c r="D63" s="66">
        <f>IFERROR(VLOOKUP("Hg-206",$A$4:$L$32,4)/$B63,0)</f>
        <v>520136068.40195012</v>
      </c>
      <c r="E63" s="67">
        <f t="shared" si="69"/>
        <v>631.70098699138509</v>
      </c>
      <c r="F63" s="65">
        <f>IFERROR(VLOOKUP("Hg-206",$A$4:$L$32,6)/$B63,0)</f>
        <v>23.372964904955353</v>
      </c>
      <c r="G63" s="66">
        <f>IFERROR(VLOOKUP("Hg-206",$A$4:$L$32,7)/$B63,0)</f>
        <v>19245034.530872174</v>
      </c>
      <c r="H63" s="67">
        <f t="shared" si="70"/>
        <v>23.372936518681268</v>
      </c>
      <c r="I63" s="65">
        <f>IFERROR(VLOOKUP("Hg-206",$A$4:$L$32,9)/$B63,0)</f>
        <v>1.82182785907814E-9</v>
      </c>
      <c r="J63" s="66">
        <f>IFERROR(VLOOKUP("Hg-206",$A$4:$L$32,10)/$B63,0)</f>
        <v>1.5000724212712246E-3</v>
      </c>
      <c r="K63" s="67">
        <f>IFERROR(VLOOKUP("Hg-206",$A$4:$L$32,11)/$B63,0)</f>
        <v>1.8218256464831541E-9</v>
      </c>
      <c r="L63" s="64">
        <f t="shared" si="64"/>
        <v>140237.6191120875</v>
      </c>
    </row>
    <row r="64" spans="1:12">
      <c r="A64" s="31" t="s">
        <v>165</v>
      </c>
      <c r="B64" s="32">
        <v>1.339E-6</v>
      </c>
      <c r="C64" s="65">
        <f>IFERROR(VLOOKUP("Tl-206",$A$4:$L$32,3)/$B64,0)</f>
        <v>8.9636544656995198</v>
      </c>
      <c r="D64" s="66">
        <f>IFERROR(VLOOKUP("Tl-206",$A$4:$L$32,4)/$B64,0)</f>
        <v>4747302.3007252198</v>
      </c>
      <c r="E64" s="67">
        <f t="shared" si="69"/>
        <v>8.9636375409400291</v>
      </c>
      <c r="F64" s="65">
        <f>IFERROR(VLOOKUP("Tl-206",$A$4:$L$32,6)/$B64,0)</f>
        <v>0.33165521523088254</v>
      </c>
      <c r="G64" s="66">
        <f>IFERROR(VLOOKUP("Tl-206",$A$4:$L$32,7)/$B64,0)</f>
        <v>175650.1851268333</v>
      </c>
      <c r="H64" s="67">
        <f t="shared" si="70"/>
        <v>0.33165458901478134</v>
      </c>
      <c r="I64" s="65">
        <f>IFERROR(VLOOKUP("Tl-206",$A$4:$L$32,9)/$B64,0)</f>
        <v>2.5851179479077419E-11</v>
      </c>
      <c r="J64" s="66">
        <f>IFERROR(VLOOKUP("Tl-206",$A$4:$L$32,10)/$B64,0)</f>
        <v>1.3691219835291533E-5</v>
      </c>
      <c r="K64" s="67">
        <f>IFERROR(VLOOKUP("Tl-206",$A$4:$L$32,11)/$B64,0)</f>
        <v>2.5851130668071045E-11</v>
      </c>
      <c r="L64" s="64">
        <f t="shared" si="64"/>
        <v>1989.9275340886866</v>
      </c>
    </row>
    <row r="65" spans="1:12">
      <c r="A65" s="30" t="s">
        <v>31</v>
      </c>
      <c r="B65" s="30" t="s">
        <v>50</v>
      </c>
      <c r="C65" s="71">
        <f t="shared" ref="C65:H65" si="71">IFERROR(1/SUM(1/C66,1/C67,1/C68,1/C69,1/C70,1/C71,1/C72,1/C73,1/C74,1/C75,1/C76,1/C77),0)</f>
        <v>1.5002916626332642E-6</v>
      </c>
      <c r="D65" s="72">
        <f t="shared" si="71"/>
        <v>0.8466649191479283</v>
      </c>
      <c r="E65" s="72">
        <f t="shared" si="71"/>
        <v>1.5002890041186223E-6</v>
      </c>
      <c r="F65" s="71">
        <f t="shared" si="71"/>
        <v>5.5510791517430838E-8</v>
      </c>
      <c r="G65" s="72">
        <f t="shared" si="71"/>
        <v>3.1326602008473377E-2</v>
      </c>
      <c r="H65" s="72">
        <f t="shared" si="71"/>
        <v>5.551069315238908E-8</v>
      </c>
      <c r="I65" s="68">
        <f>IFERROR(C65*Isospec!$C$26*Isospec!$F$26*s_SSLcm_m,".")</f>
        <v>4.6629064874641851E-18</v>
      </c>
      <c r="J65" s="69">
        <f>IFERROR(D65*Isospec!$C$26*Isospec!$F$26*s_SSLcm_m,".")</f>
        <v>2.6314345687117609E-12</v>
      </c>
      <c r="K65" s="70">
        <f>IFERROR(E65*Isospec!$C$26*Isospec!$F$26*s_SSLcm_m,".")</f>
        <v>4.6628982248006778E-18</v>
      </c>
      <c r="L65" s="63">
        <f t="shared" si="64"/>
        <v>3.3306415891433416E-4</v>
      </c>
    </row>
    <row r="66" spans="1:12">
      <c r="A66" s="31" t="s">
        <v>153</v>
      </c>
      <c r="B66" s="32">
        <v>1</v>
      </c>
      <c r="C66" s="65">
        <f>IFERROR(VLOOKUP("Rn-222",$A$4:$L$32,3)/$B66,0)</f>
        <v>1.2002333329571657E-5</v>
      </c>
      <c r="D66" s="66">
        <f>IFERROR(VLOOKUP("Rn-222",$A$4:$L$32,4)/$B66,0)</f>
        <v>11.345030657879308</v>
      </c>
      <c r="E66" s="67">
        <f t="shared" ref="E66:E67" si="72">IFERROR(IF(AND(C66&lt;&gt;0,D66&lt;&gt;0),(1/((1/C66)+(1/D66))),IF(AND(C66&lt;&gt;0,D66=0),(1/(1/C66)),IF(AND(C66=0,D66&lt;&gt;0),(1/(1/D66)),0))),0)</f>
        <v>1.2002320631866616E-5</v>
      </c>
      <c r="F66" s="65">
        <f>IFERROR(VLOOKUP("Rn-222",$A$4:$L$32,6)/$B66,0)</f>
        <v>4.4408633319415174E-7</v>
      </c>
      <c r="G66" s="66">
        <f>IFERROR(VLOOKUP("Rn-222",$A$4:$L$32,7)/$B66,0)</f>
        <v>0.41976613434153481</v>
      </c>
      <c r="H66" s="67">
        <f t="shared" ref="H66:H67" si="73">IFERROR(IF(AND(F66&lt;&gt;0,G66&lt;&gt;0),(1/((1/F66)+(1/G66))),IF(AND(F66&lt;&gt;0,G66=0),(1/(1/F66)),IF(AND(F66=0,G66&lt;&gt;0),(1/(1/G66)),0))),0)</f>
        <v>4.4408586337906538E-7</v>
      </c>
      <c r="I66" s="65">
        <f>IFERROR(VLOOKUP("Rn-222",$A$4:$L$32,9)/$B66,0)</f>
        <v>3.7303251988308711E-17</v>
      </c>
      <c r="J66" s="66">
        <f>IFERROR(VLOOKUP("Rn-222",$A$4:$L$32,10)/$B66,0)</f>
        <v>3.5260355284688885E-11</v>
      </c>
      <c r="K66" s="67">
        <f>IFERROR(VLOOKUP("Rn-222",$A$4:$L$32,11)/$B66,0)</f>
        <v>3.7303212523841445E-17</v>
      </c>
      <c r="L66" s="64">
        <f t="shared" si="64"/>
        <v>2.6645151802743888E-3</v>
      </c>
    </row>
    <row r="67" spans="1:12">
      <c r="A67" s="31" t="s">
        <v>154</v>
      </c>
      <c r="B67" s="32">
        <v>1</v>
      </c>
      <c r="C67" s="65">
        <f>IFERROR(VLOOKUP("Po-218",$A$4:$L$32,3)/$B67,0)</f>
        <v>1.2002333329571657E-5</v>
      </c>
      <c r="D67" s="66">
        <f>IFERROR(VLOOKUP("Po-218",$A$4:$L$32,4)/$B67,0)</f>
        <v>2.8110464852300954</v>
      </c>
      <c r="E67" s="67">
        <f t="shared" si="72"/>
        <v>1.2002282083393041E-5</v>
      </c>
      <c r="F67" s="65">
        <f>IFERROR(VLOOKUP("Po-218",$A$4:$L$32,6)/$B67,0)</f>
        <v>4.4408633319415174E-7</v>
      </c>
      <c r="G67" s="66">
        <f>IFERROR(VLOOKUP("Po-218",$A$4:$L$32,7)/$B67,0)</f>
        <v>0.10400871995351363</v>
      </c>
      <c r="H67" s="67">
        <f t="shared" si="73"/>
        <v>4.4408443708554296E-7</v>
      </c>
      <c r="I67" s="65">
        <f>IFERROR(VLOOKUP("Po-218",$A$4:$L$32,9)/$B67,0)</f>
        <v>3.6631121321852698E-17</v>
      </c>
      <c r="J67" s="66">
        <f>IFERROR(VLOOKUP("Po-218",$A$4:$L$32,10)/$B67,0)</f>
        <v>8.5793138729222515E-12</v>
      </c>
      <c r="K67" s="67">
        <f>IFERROR(VLOOKUP("Po-218",$A$4:$L$32,11)/$B67,0)</f>
        <v>3.6630964918515564E-17</v>
      </c>
      <c r="L67" s="64">
        <f t="shared" si="64"/>
        <v>2.664506622513255E-3</v>
      </c>
    </row>
    <row r="68" spans="1:12">
      <c r="A68" s="31" t="s">
        <v>156</v>
      </c>
      <c r="B68" s="32">
        <v>2.0000000000000001E-4</v>
      </c>
      <c r="C68" s="65">
        <f>IFERROR(VLOOKUP("At-218",$A$4:$L$32,3)/$B68,0)</f>
        <v>6.0011666647858279E-2</v>
      </c>
      <c r="D68" s="66">
        <f>IFERROR(VLOOKUP("At-218",$A$4:$L$32,4)/$B68,0)</f>
        <v>14055.232426150476</v>
      </c>
      <c r="E68" s="67">
        <f>IFERROR(IF(AND(C68&lt;&gt;0,D68&lt;&gt;0),(1/((1/C68)+(1/D68))),IF(AND(C68&lt;&gt;0,D68=0),(1/(1/C68)),IF(AND(C68=0,D68&lt;&gt;0),(1/(1/D68)),0))),0)</f>
        <v>6.00114104169652E-2</v>
      </c>
      <c r="F68" s="65">
        <f>IFERROR(VLOOKUP("At-218",$A$4:$L$32,6)/$B68,0)</f>
        <v>2.2204316659707587E-3</v>
      </c>
      <c r="G68" s="66">
        <f>IFERROR(VLOOKUP("At-218",$A$4:$L$32,7)/$B68,0)</f>
        <v>520.04359976756814</v>
      </c>
      <c r="H68" s="67">
        <f>IFERROR(IF(AND(F68&lt;&gt;0,G68&lt;&gt;0),(1/((1/F68)+(1/G68))),IF(AND(F68&lt;&gt;0,G68=0),(1/(1/F68)),IF(AND(F68=0,G68&lt;&gt;0),(1/(1/G68)),0))),0)</f>
        <v>2.2204221854277145E-3</v>
      </c>
      <c r="I68" s="65">
        <f>IFERROR(VLOOKUP("At-218",$A$4:$L$32,9)/$B68,0)</f>
        <v>1.8315560660926347E-13</v>
      </c>
      <c r="J68" s="66">
        <f>IFERROR(VLOOKUP("At-218",$A$4:$L$32,10)/$B68,0)</f>
        <v>4.2896569364611257E-8</v>
      </c>
      <c r="K68" s="67">
        <f>IFERROR(VLOOKUP("At-218",$A$4:$L$32,11)/$B68,0)</f>
        <v>1.8315482459257782E-13</v>
      </c>
      <c r="L68" s="64">
        <f>IF(E68&lt;&gt;".",E68*2.22*100,".")</f>
        <v>13.322533112566276</v>
      </c>
    </row>
    <row r="69" spans="1:12">
      <c r="A69" s="31" t="s">
        <v>158</v>
      </c>
      <c r="B69" s="32">
        <v>1.9999999999999999E-7</v>
      </c>
      <c r="C69" s="65">
        <f>IFERROR(VLOOKUP("Rn-218",$A$4:$L$32,3)/$B69,0)</f>
        <v>60.011666647858284</v>
      </c>
      <c r="D69" s="66">
        <f>IFERROR(VLOOKUP("Rn-218",$A$4:$L$32,4)/$B69,0)</f>
        <v>56725153.289396539</v>
      </c>
      <c r="E69" s="67">
        <f>IFERROR(IF(AND(C69&lt;&gt;0,D69&lt;&gt;0),(1/((1/C69)+(1/D69))),IF(AND(C69&lt;&gt;0,D69=0),(1/(1/C69)),IF(AND(C69=0,D69&lt;&gt;0),(1/(1/D69)),0))),0)</f>
        <v>60.011603159333092</v>
      </c>
      <c r="F69" s="65">
        <f>IFERROR(VLOOKUP("Rn-218",$A$4:$L$32,6)/$B69,0)</f>
        <v>2.220431665970759</v>
      </c>
      <c r="G69" s="66">
        <f>IFERROR(VLOOKUP("Rn-218",$A$4:$L$32,7)/$B69,0)</f>
        <v>2098830.6717076739</v>
      </c>
      <c r="H69" s="67">
        <f>IFERROR(IF(AND(F69&lt;&gt;0,G69&lt;&gt;0),(1/((1/F69)+(1/G69))),IF(AND(F69&lt;&gt;0,G69=0),(1/(1/F69)),IF(AND(F69=0,G69&lt;&gt;0),(1/(1/G69)),0))),0)</f>
        <v>2.2204293168953271</v>
      </c>
      <c r="I69" s="65">
        <f>IFERROR(VLOOKUP("Rn-218",$A$4:$L$32,9)/$B69,0)</f>
        <v>1.831556066092635E-10</v>
      </c>
      <c r="J69" s="66">
        <f>IFERROR(VLOOKUP("Rn-218",$A$4:$L$32,10)/$B69,0)</f>
        <v>1.7312516783923824E-4</v>
      </c>
      <c r="K69" s="67">
        <f>IFERROR(VLOOKUP("Rn-218",$A$4:$L$32,11)/$B69,0)</f>
        <v>1.8315541284228457E-10</v>
      </c>
      <c r="L69" s="64">
        <f>IF(E69&lt;&gt;".",E69*2.22*100,".")</f>
        <v>13322.575901371949</v>
      </c>
    </row>
    <row r="70" spans="1:12">
      <c r="A70" s="31" t="s">
        <v>155</v>
      </c>
      <c r="B70" s="32">
        <v>0.99980000000000002</v>
      </c>
      <c r="C70" s="65">
        <f>IFERROR(VLOOKUP("Pb-214",$A$4:$L$32,3)/$B70,0)</f>
        <v>1.2004734276426943E-5</v>
      </c>
      <c r="D70" s="66">
        <f>IFERROR(VLOOKUP("Pb-214",$A$4:$L$32,4)/$B70,0)</f>
        <v>9.3031173760747947</v>
      </c>
      <c r="E70" s="67">
        <f t="shared" ref="E70:E75" si="74">IFERROR(IF(AND(C70&lt;&gt;0,D70&lt;&gt;0),(1/((1/C70)+(1/D70))),IF(AND(C70&lt;&gt;0,D70=0),(1/(1/C70)),IF(AND(C70=0,D70&lt;&gt;0),(1/(1/D70)),0))),0)</f>
        <v>1.2004718785548643E-5</v>
      </c>
      <c r="F70" s="65">
        <f>IFERROR(VLOOKUP("Pb-214",$A$4:$L$32,6)/$B70,0)</f>
        <v>4.4417516822779727E-7</v>
      </c>
      <c r="G70" s="66">
        <f>IFERROR(VLOOKUP("Pb-214",$A$4:$L$32,7)/$B70,0)</f>
        <v>0.34421534291476774</v>
      </c>
      <c r="H70" s="67">
        <f t="shared" ref="H70:H75" si="75">IFERROR(IF(AND(F70&lt;&gt;0,G70&lt;&gt;0),(1/((1/F70)+(1/G70))),IF(AND(F70&lt;&gt;0,G70=0),(1/(1/F70)),IF(AND(F70=0,G70&lt;&gt;0),(1/(1/G70)),0))),0)</f>
        <v>4.4417459506530013E-7</v>
      </c>
      <c r="I70" s="65">
        <f>IFERROR(VLOOKUP("Pb-214",$A$4:$L$32,9)/$B70,0)</f>
        <v>3.5966183892175118E-17</v>
      </c>
      <c r="J70" s="66">
        <f>IFERROR(VLOOKUP("Pb-214",$A$4:$L$32,10)/$B70,0)</f>
        <v>2.7872139658720082E-11</v>
      </c>
      <c r="K70" s="67">
        <f>IFERROR(VLOOKUP("Pb-214",$A$4:$L$32,11)/$B70,0)</f>
        <v>3.5966137481503733E-17</v>
      </c>
      <c r="L70" s="64">
        <f t="shared" ref="L70:L75" si="76">IF(E70&lt;&gt;".",E70*2.22*100,".")</f>
        <v>2.6650475703917991E-3</v>
      </c>
    </row>
    <row r="71" spans="1:12">
      <c r="A71" s="31" t="s">
        <v>157</v>
      </c>
      <c r="B71" s="32">
        <v>0.99999979999999999</v>
      </c>
      <c r="C71" s="65">
        <f>IFERROR(VLOOKUP("Bi-214",$A$4:$L$32,3)/$B71,0)</f>
        <v>1.2002335730038803E-5</v>
      </c>
      <c r="D71" s="66">
        <f>IFERROR(VLOOKUP("Bi-214",$A$4:$L$32,4)/$B71,0)</f>
        <v>11.933690295733747</v>
      </c>
      <c r="E71" s="67">
        <f t="shared" si="74"/>
        <v>1.2002323658674914E-5</v>
      </c>
      <c r="F71" s="65">
        <f>IFERROR(VLOOKUP("Bi-214",$A$4:$L$32,6)/$B71,0)</f>
        <v>4.4408642201143615E-7</v>
      </c>
      <c r="G71" s="66">
        <f>IFERROR(VLOOKUP("Bi-214",$A$4:$L$32,7)/$B71,0)</f>
        <v>0.44154654094214912</v>
      </c>
      <c r="H71" s="67">
        <f t="shared" si="75"/>
        <v>4.4408597537097228E-7</v>
      </c>
      <c r="I71" s="65">
        <f>IFERROR(VLOOKUP("Bi-214",$A$4:$L$32,9)/$B71,0)</f>
        <v>3.5958997847196252E-17</v>
      </c>
      <c r="J71" s="66">
        <f>IFERROR(VLOOKUP("Bi-214",$A$4:$L$32,10)/$B71,0)</f>
        <v>3.575333612601831E-11</v>
      </c>
      <c r="K71" s="67">
        <f>IFERROR(VLOOKUP("Bi-214",$A$4:$L$32,11)/$B71,0)</f>
        <v>3.5958961681390045E-17</v>
      </c>
      <c r="L71" s="64">
        <f t="shared" si="76"/>
        <v>2.6645158522258313E-3</v>
      </c>
    </row>
    <row r="72" spans="1:12">
      <c r="A72" s="31" t="s">
        <v>159</v>
      </c>
      <c r="B72" s="32">
        <v>0.99979000004200003</v>
      </c>
      <c r="C72" s="65">
        <f>IFERROR(VLOOKUP("Po-214",$A$4:$L$32,3)/$B72,0)</f>
        <v>1.2004854348480634E-5</v>
      </c>
      <c r="D72" s="66">
        <f>IFERROR(VLOOKUP("Po-214",$A$4:$L$32,4)/$B72,0)</f>
        <v>11.715153870279451</v>
      </c>
      <c r="E72" s="67">
        <f t="shared" si="74"/>
        <v>1.2004842046774498E-5</v>
      </c>
      <c r="F72" s="65">
        <f>IFERROR(VLOOKUP("Po-214",$A$4:$L$32,6)/$B72,0)</f>
        <v>4.4417961089378388E-7</v>
      </c>
      <c r="G72" s="66">
        <f>IFERROR(VLOOKUP("Po-214",$A$4:$L$32,7)/$B72,0)</f>
        <v>0.43346069320034014</v>
      </c>
      <c r="H72" s="67">
        <f t="shared" si="75"/>
        <v>4.4417915573065687E-7</v>
      </c>
      <c r="I72" s="65">
        <f>IFERROR(VLOOKUP("Po-214",$A$4:$L$32,9)/$B72,0)</f>
        <v>3.5966543628047979E-17</v>
      </c>
      <c r="J72" s="66">
        <f>IFERROR(VLOOKUP("Po-214",$A$4:$L$32,10)/$B72,0)</f>
        <v>3.5098600995357236E-11</v>
      </c>
      <c r="K72" s="67">
        <f>IFERROR(VLOOKUP("Po-214",$A$4:$L$32,11)/$B72,0)</f>
        <v>3.5966506772136392E-17</v>
      </c>
      <c r="L72" s="64">
        <f t="shared" si="76"/>
        <v>2.6650749343839386E-3</v>
      </c>
    </row>
    <row r="73" spans="1:12">
      <c r="A73" s="31" t="s">
        <v>160</v>
      </c>
      <c r="B73" s="32">
        <v>2.0999995799999999E-4</v>
      </c>
      <c r="C73" s="65">
        <f>IFERROR(VLOOKUP("Tl-210",$A$4:$L$32,3)/$B73,0)</f>
        <v>5.715397966685145E-2</v>
      </c>
      <c r="D73" s="66">
        <f>IFERROR(VLOOKUP("Tl-210",$A$4:$L$32,4)/$B73,0)</f>
        <v>54760.656768302048</v>
      </c>
      <c r="E73" s="67">
        <f t="shared" si="74"/>
        <v>5.7153920015010594E-2</v>
      </c>
      <c r="F73" s="65">
        <f>IFERROR(VLOOKUP("Tl-210",$A$4:$L$32,6)/$B73,0)</f>
        <v>2.1146972476735054E-3</v>
      </c>
      <c r="G73" s="66">
        <f>IFERROR(VLOOKUP("Tl-210",$A$4:$L$32,7)/$B73,0)</f>
        <v>2026.1443004271775</v>
      </c>
      <c r="H73" s="67">
        <f t="shared" si="75"/>
        <v>2.1146950405553939E-3</v>
      </c>
      <c r="I73" s="65">
        <f>IFERROR(VLOOKUP("Tl-210",$A$4:$L$32,9)/$B73,0)</f>
        <v>1.6803270022054328E-13</v>
      </c>
      <c r="J73" s="66">
        <f>IFERROR(VLOOKUP("Tl-210",$A$4:$L$32,10)/$B73,0)</f>
        <v>1.6099633089880802E-7</v>
      </c>
      <c r="K73" s="67">
        <f>IFERROR(VLOOKUP("Tl-210",$A$4:$L$32,11)/$B73,0)</f>
        <v>1.6803252484413114E-13</v>
      </c>
      <c r="L73" s="64">
        <f t="shared" si="76"/>
        <v>12.688170243332353</v>
      </c>
    </row>
    <row r="74" spans="1:12">
      <c r="A74" s="31" t="s">
        <v>161</v>
      </c>
      <c r="B74" s="32">
        <v>1</v>
      </c>
      <c r="C74" s="65">
        <f>IFERROR(VLOOKUP("Pb-210",$A$4:$L$32,3)/$B74,0)</f>
        <v>1.2002333329571657E-5</v>
      </c>
      <c r="D74" s="66">
        <f>IFERROR(VLOOKUP("Pb-210",$A$4:$L$32,4)/$B74,0)</f>
        <v>3.6612761746846396</v>
      </c>
      <c r="E74" s="67">
        <f t="shared" si="74"/>
        <v>1.2002293983855507E-5</v>
      </c>
      <c r="F74" s="65">
        <f>IFERROR(VLOOKUP("Pb-210",$A$4:$L$32,6)/$B74,0)</f>
        <v>4.4408633319415174E-7</v>
      </c>
      <c r="G74" s="66">
        <f>IFERROR(VLOOKUP("Pb-210",$A$4:$L$32,7)/$B74,0)</f>
        <v>0.13546721846333179</v>
      </c>
      <c r="H74" s="67">
        <f t="shared" si="75"/>
        <v>4.4408487740265432E-7</v>
      </c>
      <c r="I74" s="65">
        <f>IFERROR(VLOOKUP("Pb-210",$A$4:$L$32,9)/$B74,0)</f>
        <v>3.5286859988940676E-17</v>
      </c>
      <c r="J74" s="66">
        <f>IFERROR(VLOOKUP("Pb-210",$A$4:$L$32,10)/$B74,0)</f>
        <v>1.0764151953572841E-11</v>
      </c>
      <c r="K74" s="67">
        <f>IFERROR(VLOOKUP("Pb-210",$A$4:$L$32,11)/$B74,0)</f>
        <v>3.5286744312535193E-17</v>
      </c>
      <c r="L74" s="64">
        <f t="shared" si="76"/>
        <v>2.6645092644159226E-3</v>
      </c>
    </row>
    <row r="75" spans="1:12">
      <c r="A75" s="31" t="s">
        <v>162</v>
      </c>
      <c r="B75" s="32">
        <v>1</v>
      </c>
      <c r="C75" s="65">
        <f>IFERROR(VLOOKUP("Bi-210",$A$4:$L$32,3)/$B75,0)</f>
        <v>1.2002333329571657E-5</v>
      </c>
      <c r="D75" s="66">
        <f>IFERROR(VLOOKUP("Bi-210",$A$4:$L$32,4)/$B75,0)</f>
        <v>9.805976111267773</v>
      </c>
      <c r="E75" s="67">
        <f t="shared" si="74"/>
        <v>1.200231863895571E-5</v>
      </c>
      <c r="F75" s="65">
        <f>IFERROR(VLOOKUP("Bi-210",$A$4:$L$32,6)/$B75,0)</f>
        <v>4.4408633319415174E-7</v>
      </c>
      <c r="G75" s="66">
        <f>IFERROR(VLOOKUP("Bi-210",$A$4:$L$32,7)/$B75,0)</f>
        <v>0.36282111611690798</v>
      </c>
      <c r="H75" s="67">
        <f t="shared" si="75"/>
        <v>4.4408578964136173E-7</v>
      </c>
      <c r="I75" s="65">
        <f>IFERROR(VLOOKUP("Bi-210",$A$4:$L$32,9)/$B75,0)</f>
        <v>3.5286859988940676E-17</v>
      </c>
      <c r="J75" s="66">
        <f>IFERROR(VLOOKUP("Bi-210",$A$4:$L$32,10)/$B75,0)</f>
        <v>2.8829569767127254E-11</v>
      </c>
      <c r="K75" s="67">
        <f>IFERROR(VLOOKUP("Bi-210",$A$4:$L$32,11)/$B75,0)</f>
        <v>3.5286816798529792E-17</v>
      </c>
      <c r="L75" s="64">
        <f t="shared" si="76"/>
        <v>2.6645147378481678E-3</v>
      </c>
    </row>
    <row r="76" spans="1:12">
      <c r="A76" s="31" t="s">
        <v>164</v>
      </c>
      <c r="B76" s="32">
        <v>1</v>
      </c>
      <c r="C76" s="65">
        <f>IFERROR(VLOOKUP("Po-210",$A$4:$L$32,3)/$B76,0)</f>
        <v>1.2002333329571657E-5</v>
      </c>
      <c r="D76" s="66">
        <f>IFERROR(VLOOKUP("Po-210",$A$4:$L$32,4)/$B76,0)</f>
        <v>11.71269368845873</v>
      </c>
      <c r="E76" s="67">
        <f>IFERROR(IF(AND(C76&lt;&gt;0,D76&lt;&gt;0),(1/((1/C76)+(1/D76))),IF(AND(C76&lt;&gt;0,D76=0),(1/(1/C76)),IF(AND(C76=0,D76&lt;&gt;0),(1/(1/D76)),0))),0)</f>
        <v>1.2002321030448877E-5</v>
      </c>
      <c r="F76" s="65">
        <f>IFERROR(VLOOKUP("Po-210",$A$4:$L$32,6)/$B76,0)</f>
        <v>4.4408633319415174E-7</v>
      </c>
      <c r="G76" s="66">
        <f>IFERROR(VLOOKUP("Po-210",$A$4:$L$32,7)/$B76,0)</f>
        <v>0.43336966647297342</v>
      </c>
      <c r="H76" s="67">
        <f>IFERROR(IF(AND(F76&lt;&gt;0,G76&lt;&gt;0),(1/((1/F76)+(1/G76))),IF(AND(F76&lt;&gt;0,G76=0),(1/(1/F76)),IF(AND(F76=0,G76&lt;&gt;0),(1/(1/G76)),0))),0)</f>
        <v>4.4408587812660906E-7</v>
      </c>
      <c r="I76" s="65">
        <f>IFERROR(VLOOKUP("Po-210",$A$4:$L$32,9)/$B76,0)</f>
        <v>3.5286859988940676E-17</v>
      </c>
      <c r="J76" s="66">
        <f>IFERROR(VLOOKUP("Po-210",$A$4:$L$32,10)/$B76,0)</f>
        <v>3.4435319444068666E-11</v>
      </c>
      <c r="K76" s="67">
        <f>IFERROR(VLOOKUP("Po-210",$A$4:$L$32,11)/$B76,0)</f>
        <v>3.5286823829519701E-17</v>
      </c>
      <c r="L76" s="64">
        <f>IF(E76&lt;&gt;".",E76*2.22*100,".")</f>
        <v>2.6645152687596509E-3</v>
      </c>
    </row>
    <row r="77" spans="1:12">
      <c r="A77" s="31" t="s">
        <v>163</v>
      </c>
      <c r="B77" s="34">
        <v>1.9000000000000001E-8</v>
      </c>
      <c r="C77" s="65">
        <f>IFERROR(VLOOKUP("Hg-206",$A$4:$L$32,3)/$B77,0)</f>
        <v>631.70175418798192</v>
      </c>
      <c r="D77" s="66">
        <f>IFERROR(VLOOKUP("Hg-206",$A$4:$L$32,4)/$B77,0)</f>
        <v>520136068.40195012</v>
      </c>
      <c r="E77" s="67">
        <f t="shared" ref="E77:E78" si="77">IFERROR(IF(AND(C77&lt;&gt;0,D77&lt;&gt;0),(1/((1/C77)+(1/D77))),IF(AND(C77&lt;&gt;0,D77=0),(1/(1/C77)),IF(AND(C77=0,D77&lt;&gt;0),(1/(1/D77)),0))),0)</f>
        <v>631.70098699138509</v>
      </c>
      <c r="F77" s="65">
        <f>IFERROR(VLOOKUP("Hg-206",$A$4:$L$32,6)/$B77,0)</f>
        <v>23.372964904955353</v>
      </c>
      <c r="G77" s="66">
        <f>IFERROR(VLOOKUP("Hg-206",$A$4:$L$32,7)/$B77,0)</f>
        <v>19245034.530872174</v>
      </c>
      <c r="H77" s="67">
        <f t="shared" ref="H77:H78" si="78">IFERROR(IF(AND(F77&lt;&gt;0,G77&lt;&gt;0),(1/((1/F77)+(1/G77))),IF(AND(F77&lt;&gt;0,G77=0),(1/(1/F77)),IF(AND(F77=0,G77&lt;&gt;0),(1/(1/G77)),0))),0)</f>
        <v>23.372936518681268</v>
      </c>
      <c r="I77" s="65">
        <f>IFERROR(VLOOKUP("Hg-206",$A$4:$L$32,9)/$B77,0)</f>
        <v>1.82182785907814E-9</v>
      </c>
      <c r="J77" s="66">
        <f>IFERROR(VLOOKUP("Hg-206",$A$4:$L$32,10)/$B77,0)</f>
        <v>1.5000724212712246E-3</v>
      </c>
      <c r="K77" s="67">
        <f>IFERROR(VLOOKUP("Hg-206",$A$4:$L$32,11)/$B77,0)</f>
        <v>1.8218256464831541E-9</v>
      </c>
      <c r="L77" s="64">
        <f t="shared" ref="L77:L78" si="79">IF(E77&lt;&gt;".",E77*2.22*100,".")</f>
        <v>140237.6191120875</v>
      </c>
    </row>
    <row r="78" spans="1:12">
      <c r="A78" s="31" t="s">
        <v>165</v>
      </c>
      <c r="B78" s="32">
        <v>1.339E-6</v>
      </c>
      <c r="C78" s="65">
        <f>IFERROR(VLOOKUP("Tl-206",$A$4:$L$32,3)/$B78,0)</f>
        <v>8.9636544656995198</v>
      </c>
      <c r="D78" s="66">
        <f>IFERROR(VLOOKUP("Tl-206",$A$4:$L$32,4)/$B78,0)</f>
        <v>4747302.3007252198</v>
      </c>
      <c r="E78" s="67">
        <f t="shared" si="77"/>
        <v>8.9636375409400291</v>
      </c>
      <c r="F78" s="65">
        <f>IFERROR(VLOOKUP("Tl-206",$A$4:$L$32,6)/$B78,0)</f>
        <v>0.33165521523088254</v>
      </c>
      <c r="G78" s="66">
        <f>IFERROR(VLOOKUP("Tl-206",$A$4:$L$32,7)/$B78,0)</f>
        <v>175650.1851268333</v>
      </c>
      <c r="H78" s="67">
        <f t="shared" si="78"/>
        <v>0.33165458901478134</v>
      </c>
      <c r="I78" s="65">
        <f>IFERROR(VLOOKUP("Tl-206",$A$4:$L$32,9)/$B78,0)</f>
        <v>2.5851179479077419E-11</v>
      </c>
      <c r="J78" s="66">
        <f>IFERROR(VLOOKUP("Tl-206",$A$4:$L$32,10)/$B78,0)</f>
        <v>1.3691219835291533E-5</v>
      </c>
      <c r="K78" s="67">
        <f>IFERROR(VLOOKUP("Tl-206",$A$4:$L$32,11)/$B78,0)</f>
        <v>2.5851130668071045E-11</v>
      </c>
      <c r="L78" s="64">
        <f t="shared" si="79"/>
        <v>1989.9275340886866</v>
      </c>
    </row>
  </sheetData>
  <sheetProtection algorithmName="SHA-512" hashValue="bJc2FXz82lYCgJqaHtGx1g8IhWhp2M4qaZD6XL/LAYr5sICuZO+/p5VWmFWqhHabMnoZGh0OVoFlgGFrfC0QFA==" saltValue="QmDHIHTyJEKmMX1PvRnCTA==" spinCount="100000" sheet="1" formatCells="0" formatColumns="0" formatRows="0" insertColumns="0" insertRows="0" autoFilter="0"/>
  <autoFilter ref="A2:L78" xr:uid="{00000000-0001-0000-0E00-000000000000}"/>
  <mergeCells count="3">
    <mergeCell ref="C1:E1"/>
    <mergeCell ref="F1:H1"/>
    <mergeCell ref="I1:K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499984740745262"/>
  </sheetPr>
  <dimension ref="A1:K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12.7109375" defaultRowHeight="12.75"/>
  <cols>
    <col min="1" max="1" width="12.5703125" style="22" bestFit="1" customWidth="1"/>
    <col min="2" max="2" width="12" style="22" bestFit="1" customWidth="1"/>
    <col min="3" max="3" width="12.140625" style="22" bestFit="1" customWidth="1"/>
    <col min="4" max="4" width="12.7109375" style="22" bestFit="1" customWidth="1"/>
    <col min="5" max="5" width="11.85546875" style="22" bestFit="1" customWidth="1"/>
    <col min="6" max="6" width="12.140625" style="22" bestFit="1" customWidth="1"/>
    <col min="7" max="7" width="12.7109375" style="22" bestFit="1" customWidth="1"/>
    <col min="8" max="8" width="11.85546875" style="22" bestFit="1" customWidth="1"/>
    <col min="9" max="9" width="12.140625" style="22" bestFit="1" customWidth="1"/>
    <col min="10" max="10" width="12.7109375" style="22" bestFit="1" customWidth="1"/>
    <col min="11" max="11" width="11.85546875" style="22" bestFit="1" customWidth="1"/>
  </cols>
  <sheetData>
    <row r="1" spans="1:11" ht="13.5" thickBot="1">
      <c r="C1" s="140" t="s">
        <v>51</v>
      </c>
      <c r="D1" s="141"/>
      <c r="E1" s="141"/>
      <c r="F1" s="140" t="s">
        <v>100</v>
      </c>
      <c r="G1" s="141"/>
      <c r="H1" s="141"/>
      <c r="I1" s="140" t="s">
        <v>101</v>
      </c>
      <c r="J1" s="141"/>
      <c r="K1" s="141"/>
    </row>
    <row r="2" spans="1:11">
      <c r="A2" s="11" t="s">
        <v>0</v>
      </c>
      <c r="B2" s="11" t="s">
        <v>43</v>
      </c>
      <c r="C2" s="35" t="s">
        <v>201</v>
      </c>
      <c r="D2" s="36" t="s">
        <v>202</v>
      </c>
      <c r="E2" s="37" t="s">
        <v>203</v>
      </c>
      <c r="F2" s="36" t="s">
        <v>201</v>
      </c>
      <c r="G2" s="36" t="s">
        <v>202</v>
      </c>
      <c r="H2" s="38" t="s">
        <v>203</v>
      </c>
      <c r="I2" s="36" t="s">
        <v>201</v>
      </c>
      <c r="J2" s="36" t="s">
        <v>202</v>
      </c>
      <c r="K2" s="37" t="s">
        <v>203</v>
      </c>
    </row>
    <row r="3" spans="1:11" ht="13.5" thickBot="1">
      <c r="B3" s="26" t="s">
        <v>44</v>
      </c>
      <c r="C3" s="27" t="s">
        <v>105</v>
      </c>
      <c r="D3" s="28" t="s">
        <v>105</v>
      </c>
      <c r="E3" s="29" t="s">
        <v>105</v>
      </c>
      <c r="F3" s="28" t="s">
        <v>106</v>
      </c>
      <c r="G3" s="28" t="s">
        <v>106</v>
      </c>
      <c r="H3" s="39" t="s">
        <v>106</v>
      </c>
      <c r="I3" s="28" t="s">
        <v>107</v>
      </c>
      <c r="J3" s="28" t="s">
        <v>107</v>
      </c>
      <c r="K3" s="29" t="s">
        <v>107</v>
      </c>
    </row>
    <row r="4" spans="1:11">
      <c r="A4" s="82" t="s">
        <v>23</v>
      </c>
      <c r="B4" s="12" t="s">
        <v>50</v>
      </c>
      <c r="C4" s="2">
        <f>IFERROR((s_DL)/(Doses!H2*s_IRAiw*s_Fin*s_Fi*s_ETiw*(1/24)*s_EFiw),".")</f>
        <v>7.2727272727272723E-4</v>
      </c>
      <c r="D4" s="3">
        <f>IFERROR((s_DL)/(Doses!J2*s_GSFa*s_Fin*s_Fi*s_ETiw*(1/24)*s_EFiw*(1/365)),".")</f>
        <v>15.927272727272729</v>
      </c>
      <c r="E4" s="5">
        <f t="shared" ref="E4" si="0">IFERROR(IF(AND(ISNUMBER(C4),ISNUMBER(D4)),(1/((1/C4)+(1/D4))),IF(AND(ISNUMBER(C4),NOT(ISNUMBER(D4))),(1/(1/C4)),IF(AND(NOT(ISNUMBER(C4)),ISNUMBER(D4)),(1/(1/D4)),"."))),".")</f>
        <v>7.272395199887095E-4</v>
      </c>
      <c r="F4" s="3">
        <f t="shared" ref="F4:F5" si="1">IFERROR(C4/s_1_bq,".")</f>
        <v>2.6909090909090934E-5</v>
      </c>
      <c r="G4" s="3">
        <f t="shared" ref="G4:G5" si="2">IFERROR(D4/s_1_bq,".")</f>
        <v>0.58930909090909156</v>
      </c>
      <c r="H4" s="4">
        <f t="shared" ref="H4:H5" si="3">IFERROR(E4/s_1_bq,".")</f>
        <v>2.690786223958228E-5</v>
      </c>
      <c r="I4" s="3">
        <f>IFERROR(C4*Isospec!C3*Isospec!F3*s_SSLcm_m,".")</f>
        <v>2.2909090909090913E-15</v>
      </c>
      <c r="J4" s="3">
        <f>IFERROR(D4*Isospec!C3*Isospec!F3*s_SSLcm_m,".")</f>
        <v>5.0170909090909108E-11</v>
      </c>
      <c r="K4" s="5">
        <f>IFERROR(E4*Isospec!C3*Isospec!F3*s_SSLcm_m,".")</f>
        <v>2.2908044879644348E-15</v>
      </c>
    </row>
    <row r="5" spans="1:11">
      <c r="A5" s="83" t="s">
        <v>14</v>
      </c>
      <c r="B5" s="12" t="s">
        <v>44</v>
      </c>
      <c r="C5" s="2">
        <f>IFERROR((s_DL)/(Doses!H3*s_IRAiw*s_Fin*s_Fi*s_ETiw*(1/24)*s_EFiw),".")</f>
        <v>7.2727272727272723E-4</v>
      </c>
      <c r="D5" s="3">
        <f>IFERROR((s_DL)/(Doses!J3*s_GSFa*s_Fin*s_Fi*s_ETiw*(1/24)*s_EFiw*(1/365)),".")</f>
        <v>15.927272727272729</v>
      </c>
      <c r="E5" s="5">
        <f>IFERROR(IF(AND(ISNUMBER(C5),ISNUMBER(D5)),(1/((1/C5)+(1/D5))),IF(AND(ISNUMBER(C5),NOT(ISNUMBER(D5))),(1/(1/C5)),IF(AND(NOT(ISNUMBER(C5)),ISNUMBER(D5)),(1/(1/D5)),"."))),".")</f>
        <v>7.272395199887095E-4</v>
      </c>
      <c r="F5" s="3">
        <f t="shared" si="1"/>
        <v>2.6909090909090934E-5</v>
      </c>
      <c r="G5" s="3">
        <f t="shared" si="2"/>
        <v>0.58930909090909156</v>
      </c>
      <c r="H5" s="4">
        <f t="shared" si="3"/>
        <v>2.690786223958228E-5</v>
      </c>
      <c r="I5" s="3">
        <f>IFERROR(C5*Isospec!C4*Isospec!F4*s_SSLcm_m,".")</f>
        <v>2.453818181818182E-15</v>
      </c>
      <c r="J5" s="3">
        <f>IFERROR(D5*Isospec!C4*Isospec!F4*s_SSLcm_m,".")</f>
        <v>5.3738618181818193E-11</v>
      </c>
      <c r="K5" s="5">
        <f>IFERROR(E5*Isospec!C4*Isospec!F4*s_SSLcm_m,".")</f>
        <v>2.4537061404419058E-15</v>
      </c>
    </row>
    <row r="6" spans="1:11">
      <c r="A6" s="82" t="s">
        <v>15</v>
      </c>
      <c r="B6" s="12" t="s">
        <v>50</v>
      </c>
      <c r="C6" s="2">
        <f>IFERROR((s_DL)/(Doses!H4*s_IRAiw*s_Fin*s_Fi*s_ETiw*(1/24)*s_EFiw),".")</f>
        <v>7.2727272727272723E-4</v>
      </c>
      <c r="D6" s="3">
        <f>IFERROR((s_DL)/(Doses!J4*s_GSFa*s_Fin*s_Fi*s_ETiw*(1/24)*s_EFiw*(1/365)),".")</f>
        <v>15.927272727272729</v>
      </c>
      <c r="E6" s="5">
        <f t="shared" ref="E6:E7" si="4">IFERROR(IF(AND(ISNUMBER(C6),ISNUMBER(D6)),(1/((1/C6)+(1/D6))),IF(AND(ISNUMBER(C6),NOT(ISNUMBER(D6))),(1/(1/C6)),IF(AND(NOT(ISNUMBER(C6)),ISNUMBER(D6)),(1/(1/D6)),"."))),".")</f>
        <v>7.272395199887095E-4</v>
      </c>
      <c r="F6" s="3">
        <f t="shared" ref="F6:F8" si="5">IFERROR(C6/s_1_bq,".")</f>
        <v>2.6909090909090934E-5</v>
      </c>
      <c r="G6" s="3">
        <f t="shared" ref="G6:G8" si="6">IFERROR(D6/s_1_bq,".")</f>
        <v>0.58930909090909156</v>
      </c>
      <c r="H6" s="4">
        <f t="shared" ref="H6:H8" si="7">IFERROR(E6/s_1_bq,".")</f>
        <v>2.690786223958228E-5</v>
      </c>
      <c r="I6" s="3">
        <f>IFERROR(C6*Isospec!C5*Isospec!F5*s_SSLcm_m,".")</f>
        <v>2.2094545454545456E-15</v>
      </c>
      <c r="J6" s="3">
        <f>IFERROR(D6*Isospec!C5*Isospec!F5*s_SSLcm_m,".")</f>
        <v>4.8387054545454553E-11</v>
      </c>
      <c r="K6" s="5">
        <f>IFERROR(E6*Isospec!C5*Isospec!F5*s_SSLcm_m,".")</f>
        <v>2.2093536617256995E-15</v>
      </c>
    </row>
    <row r="7" spans="1:11">
      <c r="A7" s="82" t="s">
        <v>16</v>
      </c>
      <c r="B7" s="84" t="s">
        <v>50</v>
      </c>
      <c r="C7" s="2">
        <f>IFERROR((s_DL)/(Doses!H5*s_IRAiw*s_Fin*s_Fi*s_ETiw*(1/24)*s_EFiw),".")</f>
        <v>7.2727272727272723E-4</v>
      </c>
      <c r="D7" s="3">
        <f>IFERROR((s_DL)/(Doses!J5*s_GSFa*s_Fin*s_Fi*s_ETiw*(1/24)*s_EFiw*(1/365)),".")</f>
        <v>15.927272727272729</v>
      </c>
      <c r="E7" s="5">
        <f t="shared" si="4"/>
        <v>7.272395199887095E-4</v>
      </c>
      <c r="F7" s="3">
        <f t="shared" si="5"/>
        <v>2.6909090909090934E-5</v>
      </c>
      <c r="G7" s="3">
        <f t="shared" si="6"/>
        <v>0.58930909090909156</v>
      </c>
      <c r="H7" s="4">
        <f t="shared" si="7"/>
        <v>2.690786223958228E-5</v>
      </c>
      <c r="I7" s="3">
        <f>IFERROR(C7*Isospec!C6*Isospec!F6*s_SSLcm_m,".")</f>
        <v>2.2196363636363638E-15</v>
      </c>
      <c r="J7" s="3">
        <f>IFERROR(D7*Isospec!C6*Isospec!F6*s_SSLcm_m,".")</f>
        <v>4.8610036363636374E-11</v>
      </c>
      <c r="K7" s="5">
        <f>IFERROR(E7*Isospec!C6*Isospec!F6*s_SSLcm_m,".")</f>
        <v>2.2195350150055416E-15</v>
      </c>
    </row>
    <row r="8" spans="1:11">
      <c r="A8" s="82" t="s">
        <v>18</v>
      </c>
      <c r="B8" s="12" t="s">
        <v>50</v>
      </c>
      <c r="C8" s="2">
        <f>IFERROR((s_DL)/(Doses!H6*s_IRAiw*s_Fin*s_Fi*s_ETiw*(1/24)*s_EFiw),".")</f>
        <v>7.2727272727272723E-4</v>
      </c>
      <c r="D8" s="3">
        <f>IFERROR((s_DL)/(Doses!J6*s_GSFa*s_Fin*s_Fi*s_ETiw*(1/24)*s_EFiw*(1/365)),".")</f>
        <v>15.927272727272729</v>
      </c>
      <c r="E8" s="5">
        <f t="shared" ref="E8:E11" si="8">IFERROR(IF(AND(ISNUMBER(C8),ISNUMBER(D8)),(1/((1/C8)+(1/D8))),IF(AND(ISNUMBER(C8),NOT(ISNUMBER(D8))),(1/(1/C8)),IF(AND(NOT(ISNUMBER(C8)),ISNUMBER(D8)),(1/(1/D8)),"."))),".")</f>
        <v>7.272395199887095E-4</v>
      </c>
      <c r="F8" s="3">
        <f t="shared" si="5"/>
        <v>2.6909090909090934E-5</v>
      </c>
      <c r="G8" s="3">
        <f t="shared" si="6"/>
        <v>0.58930909090909156</v>
      </c>
      <c r="H8" s="4">
        <f t="shared" si="7"/>
        <v>2.690786223958228E-5</v>
      </c>
      <c r="I8" s="3">
        <f>IFERROR(C8*Isospec!C7*Isospec!F7*s_SSLcm_m,".")</f>
        <v>1.394909090909091E-15</v>
      </c>
      <c r="J8" s="3">
        <f>IFERROR(D8*Isospec!C7*Isospec!F7*s_SSLcm_m,".")</f>
        <v>3.05485090909091E-11</v>
      </c>
      <c r="K8" s="5">
        <f>IFERROR(E8*Isospec!C7*Isospec!F7*s_SSLcm_m,".")</f>
        <v>1.3948453993383449E-15</v>
      </c>
    </row>
    <row r="9" spans="1:11">
      <c r="A9" s="82" t="s">
        <v>19</v>
      </c>
      <c r="B9" s="85" t="s">
        <v>50</v>
      </c>
      <c r="C9" s="2">
        <f>IFERROR((s_DL)/(Doses!H7*s_IRAiw*s_Fin*s_Fi*s_ETiw*(1/24)*s_EFiw),".")</f>
        <v>7.2727272727272723E-4</v>
      </c>
      <c r="D9" s="3">
        <f>IFERROR((s_DL)/(Doses!J7*s_GSFa*s_Fin*s_Fi*s_ETiw*(1/24)*s_EFiw*(1/365)),".")</f>
        <v>15.927272727272729</v>
      </c>
      <c r="E9" s="5">
        <f t="shared" si="8"/>
        <v>7.272395199887095E-4</v>
      </c>
      <c r="F9" s="3">
        <f t="shared" ref="F9:F11" si="9">IFERROR(C9/s_1_bq,".")</f>
        <v>2.6909090909090934E-5</v>
      </c>
      <c r="G9" s="3">
        <f t="shared" ref="G9:G11" si="10">IFERROR(D9/s_1_bq,".")</f>
        <v>0.58930909090909156</v>
      </c>
      <c r="H9" s="4">
        <f t="shared" ref="H9:H11" si="11">IFERROR(E9/s_1_bq,".")</f>
        <v>2.690786223958228E-5</v>
      </c>
      <c r="I9" s="3">
        <f>IFERROR(C9*Isospec!C8*Isospec!F8*s_SSLcm_m,".")</f>
        <v>2.1381818181818184E-15</v>
      </c>
      <c r="J9" s="3">
        <f>IFERROR(D9*Isospec!C8*Isospec!F8*s_SSLcm_m,".")</f>
        <v>4.6826181818181831E-11</v>
      </c>
      <c r="K9" s="5">
        <f>IFERROR(E9*Isospec!C8*Isospec!F8*s_SSLcm_m,".")</f>
        <v>2.138084188766806E-15</v>
      </c>
    </row>
    <row r="10" spans="1:11">
      <c r="A10" s="82" t="s">
        <v>20</v>
      </c>
      <c r="B10" s="12" t="s">
        <v>50</v>
      </c>
      <c r="C10" s="2">
        <f>IFERROR((s_DL)/(Doses!H8*s_IRAiw*s_Fin*s_Fi*s_ETiw*(1/24)*s_EFiw),".")</f>
        <v>7.2727272727272723E-4</v>
      </c>
      <c r="D10" s="3">
        <f>IFERROR((s_DL)/(Doses!J8*s_GSFa*s_Fin*s_Fi*s_ETiw*(1/24)*s_EFiw*(1/365)),".")</f>
        <v>15.927272727272729</v>
      </c>
      <c r="E10" s="5">
        <f t="shared" si="8"/>
        <v>7.272395199887095E-4</v>
      </c>
      <c r="F10" s="3">
        <f t="shared" si="9"/>
        <v>2.6909090909090934E-5</v>
      </c>
      <c r="G10" s="3">
        <f t="shared" si="10"/>
        <v>0.58930909090909156</v>
      </c>
      <c r="H10" s="4">
        <f t="shared" si="11"/>
        <v>2.690786223958228E-5</v>
      </c>
      <c r="I10" s="3">
        <f>IFERROR(C10*Isospec!C9*Isospec!F9*s_SSLcm_m,".")</f>
        <v>2.1687272727272729E-15</v>
      </c>
      <c r="J10" s="3">
        <f>IFERROR(D10*Isospec!C9*Isospec!F9*s_SSLcm_m,".")</f>
        <v>4.7495127272727292E-11</v>
      </c>
      <c r="K10" s="5">
        <f>IFERROR(E10*Isospec!C9*Isospec!F9*s_SSLcm_m,".")</f>
        <v>2.1686282486063315E-15</v>
      </c>
    </row>
    <row r="11" spans="1:11">
      <c r="A11" s="82" t="s">
        <v>21</v>
      </c>
      <c r="B11" s="85" t="s">
        <v>50</v>
      </c>
      <c r="C11" s="2">
        <f>IFERROR((s_DL)/(Doses!H9*s_IRAiw*s_Fin*s_Fi*s_ETiw*(1/24)*s_EFiw),".")</f>
        <v>7.2727272727272723E-4</v>
      </c>
      <c r="D11" s="3">
        <f>IFERROR((s_DL)/(Doses!J9*s_GSFa*s_Fin*s_Fi*s_ETiw*(1/24)*s_EFiw*(1/365)),".")</f>
        <v>15.927272727272729</v>
      </c>
      <c r="E11" s="5">
        <f t="shared" si="8"/>
        <v>7.272395199887095E-4</v>
      </c>
      <c r="F11" s="3">
        <f t="shared" si="9"/>
        <v>2.6909090909090934E-5</v>
      </c>
      <c r="G11" s="3">
        <f t="shared" si="10"/>
        <v>0.58930909090909156</v>
      </c>
      <c r="H11" s="4">
        <f t="shared" si="11"/>
        <v>2.690786223958228E-5</v>
      </c>
      <c r="I11" s="3">
        <f>IFERROR(C11*Isospec!C10*Isospec!F10*s_SSLcm_m,".")</f>
        <v>2.1789090909090911E-15</v>
      </c>
      <c r="J11" s="3">
        <f>IFERROR(D11*Isospec!C10*Isospec!F10*s_SSLcm_m,".")</f>
        <v>4.7718109090909106E-11</v>
      </c>
      <c r="K11" s="5">
        <f>IFERROR(E11*Isospec!C10*Isospec!F10*s_SSLcm_m,".")</f>
        <v>2.1788096018861736E-15</v>
      </c>
    </row>
    <row r="12" spans="1:11">
      <c r="A12" s="83" t="s">
        <v>17</v>
      </c>
      <c r="B12" s="12" t="s">
        <v>44</v>
      </c>
      <c r="C12" s="2">
        <f>IFERROR((s_DL)/(Doses!H10*s_IRAiw*s_Fin*s_Fi*s_ETiw*(1/24)*s_EFiw),".")</f>
        <v>7.2727272727272723E-4</v>
      </c>
      <c r="D12" s="3">
        <f>IFERROR((s_DL)/(Doses!J10*s_GSFa*s_Fin*s_Fi*s_ETiw*(1/24)*s_EFiw*(1/365)),".")</f>
        <v>15.927272727272729</v>
      </c>
      <c r="E12" s="5">
        <f t="shared" ref="E12" si="12">IFERROR(IF(AND(ISNUMBER(C12),ISNUMBER(D12)),(1/((1/C12)+(1/D12))),IF(AND(ISNUMBER(C12),NOT(ISNUMBER(D12))),(1/(1/C12)),IF(AND(NOT(ISNUMBER(C12)),ISNUMBER(D12)),(1/(1/D12)),"."))),".")</f>
        <v>7.272395199887095E-4</v>
      </c>
      <c r="F12" s="3">
        <f t="shared" ref="F12" si="13">IFERROR(C12/s_1_bq,".")</f>
        <v>2.6909090909090934E-5</v>
      </c>
      <c r="G12" s="3">
        <f t="shared" ref="G12" si="14">IFERROR(D12/s_1_bq,".")</f>
        <v>0.58930909090909156</v>
      </c>
      <c r="H12" s="4">
        <f t="shared" ref="H12" si="15">IFERROR(E12/s_1_bq,".")</f>
        <v>2.690786223958228E-5</v>
      </c>
      <c r="I12" s="3">
        <f>IFERROR(C12*Isospec!C11*Isospec!F11*s_SSLcm_m,".")</f>
        <v>1.394909090909091E-15</v>
      </c>
      <c r="J12" s="3">
        <f>IFERROR(D12*Isospec!C11*Isospec!F11*s_SSLcm_m,".")</f>
        <v>3.05485090909091E-11</v>
      </c>
      <c r="K12" s="5">
        <f>IFERROR(E12*Isospec!C11*Isospec!F11*s_SSLcm_m,".")</f>
        <v>1.3948453993383449E-15</v>
      </c>
    </row>
    <row r="13" spans="1:11">
      <c r="A13" s="82" t="s">
        <v>24</v>
      </c>
      <c r="B13" s="12" t="s">
        <v>50</v>
      </c>
      <c r="C13" s="2">
        <f>IFERROR((s_DL)/(Doses!H11*s_IRAiw*s_Fin*s_Fi*s_ETiw*(1/24)*s_EFiw),".")</f>
        <v>7.2727272727272723E-4</v>
      </c>
      <c r="D13" s="3">
        <f>IFERROR((s_DL)/(Doses!J11*s_GSFa*s_Fin*s_Fi*s_ETiw*(1/24)*s_EFiw*(1/365)),".")</f>
        <v>15.927272727272729</v>
      </c>
      <c r="E13" s="5">
        <f t="shared" ref="E13" si="16">IFERROR(IF(AND(ISNUMBER(C13),ISNUMBER(D13)),(1/((1/C13)+(1/D13))),IF(AND(ISNUMBER(C13),NOT(ISNUMBER(D13))),(1/(1/C13)),IF(AND(NOT(ISNUMBER(C13)),ISNUMBER(D13)),(1/(1/D13)),"."))),".")</f>
        <v>7.272395199887095E-4</v>
      </c>
      <c r="F13" s="3">
        <f t="shared" ref="F13" si="17">IFERROR(C13/s_1_bq,".")</f>
        <v>2.6909090909090934E-5</v>
      </c>
      <c r="G13" s="3">
        <f t="shared" ref="G13" si="18">IFERROR(D13/s_1_bq,".")</f>
        <v>0.58930909090909156</v>
      </c>
      <c r="H13" s="4">
        <f t="shared" ref="H13" si="19">IFERROR(E13/s_1_bq,".")</f>
        <v>2.690786223958228E-5</v>
      </c>
      <c r="I13" s="3">
        <f>IFERROR(C13*Isospec!C12*Isospec!F12*s_SSLcm_m,".")</f>
        <v>2.2501818181818183E-15</v>
      </c>
      <c r="J13" s="3">
        <f>IFERROR(D13*Isospec!C12*Isospec!F12*s_SSLcm_m,".")</f>
        <v>4.9278981818181834E-11</v>
      </c>
      <c r="K13" s="5">
        <f>IFERROR(E13*Isospec!C12*Isospec!F12*s_SSLcm_m,".")</f>
        <v>2.2500790748450672E-15</v>
      </c>
    </row>
    <row r="14" spans="1:11">
      <c r="A14" s="82" t="s">
        <v>22</v>
      </c>
      <c r="B14" s="84" t="s">
        <v>50</v>
      </c>
      <c r="C14" s="2">
        <f>IFERROR((s_DL)/(Doses!H12*s_IRAiw*s_Fin*s_Fi*s_ETiw*(1/24)*s_EFiw),".")</f>
        <v>7.2727272727272723E-4</v>
      </c>
      <c r="D14" s="3">
        <f>IFERROR((s_DL)/(Doses!J12*s_GSFa*s_Fin*s_Fi*s_ETiw*(1/24)*s_EFiw*(1/365)),".")</f>
        <v>15.927272727272729</v>
      </c>
      <c r="E14" s="5">
        <f t="shared" ref="E14" si="20">IFERROR(IF(AND(ISNUMBER(C14),ISNUMBER(D14)),(1/((1/C14)+(1/D14))),IF(AND(ISNUMBER(C14),NOT(ISNUMBER(D14))),(1/(1/C14)),IF(AND(NOT(ISNUMBER(C14)),ISNUMBER(D14)),(1/(1/D14)),"."))),".")</f>
        <v>7.272395199887095E-4</v>
      </c>
      <c r="F14" s="3">
        <f t="shared" ref="F14" si="21">IFERROR(C14/s_1_bq,".")</f>
        <v>2.6909090909090934E-5</v>
      </c>
      <c r="G14" s="3">
        <f t="shared" ref="G14" si="22">IFERROR(D14/s_1_bq,".")</f>
        <v>0.58930909090909156</v>
      </c>
      <c r="H14" s="4">
        <f t="shared" ref="H14" si="23">IFERROR(E14/s_1_bq,".")</f>
        <v>2.690786223958228E-5</v>
      </c>
      <c r="I14" s="3">
        <f>IFERROR(C14*Isospec!C13*Isospec!F13*s_SSLcm_m,".")</f>
        <v>2.0974545454545458E-15</v>
      </c>
      <c r="J14" s="3">
        <f>IFERROR(D14*Isospec!C13*Isospec!F13*s_SSLcm_m,".")</f>
        <v>4.5934254545454557E-11</v>
      </c>
      <c r="K14" s="5">
        <f>IFERROR(E14*Isospec!C13*Isospec!F13*s_SSLcm_m,".")</f>
        <v>2.0973587756474383E-15</v>
      </c>
    </row>
    <row r="15" spans="1:11">
      <c r="A15" s="82" t="s">
        <v>28</v>
      </c>
      <c r="B15" s="12" t="s">
        <v>50</v>
      </c>
      <c r="C15" s="2">
        <f>IFERROR((s_DL)/(Doses!H13*s_IRAiw*s_Fin*s_Fi*s_ETiw*(1/24)*s_EFiw),".")</f>
        <v>7.2727272727272723E-4</v>
      </c>
      <c r="D15" s="3">
        <f>IFERROR((s_DL)/(Doses!J13*s_GSFa*s_Fin*s_Fi*s_ETiw*(1/24)*s_EFiw*(1/365)),".")</f>
        <v>15.927272727272729</v>
      </c>
      <c r="E15" s="5">
        <f t="shared" ref="E15:E16" si="24">IFERROR(IF(AND(ISNUMBER(C15),ISNUMBER(D15)),(1/((1/C15)+(1/D15))),IF(AND(ISNUMBER(C15),NOT(ISNUMBER(D15))),(1/(1/C15)),IF(AND(NOT(ISNUMBER(C15)),ISNUMBER(D15)),(1/(1/D15)),"."))),".")</f>
        <v>7.272395199887095E-4</v>
      </c>
      <c r="F15" s="3">
        <f t="shared" ref="F15:F16" si="25">IFERROR(C15/s_1_bq,".")</f>
        <v>2.6909090909090934E-5</v>
      </c>
      <c r="G15" s="3">
        <f t="shared" ref="G15:G16" si="26">IFERROR(D15/s_1_bq,".")</f>
        <v>0.58930909090909156</v>
      </c>
      <c r="H15" s="4">
        <f t="shared" ref="H15:H16" si="27">IFERROR(E15/s_1_bq,".")</f>
        <v>2.690786223958228E-5</v>
      </c>
      <c r="I15" s="3">
        <f>IFERROR(C15*Isospec!C14*Isospec!F14*s_SSLcm_m,".")</f>
        <v>2.4130909090909094E-15</v>
      </c>
      <c r="J15" s="3">
        <f>IFERROR(D15*Isospec!C14*Isospec!F14*s_SSLcm_m,".")</f>
        <v>5.2846690909090925E-11</v>
      </c>
      <c r="K15" s="5">
        <f>IFERROR(E15*Isospec!C14*Isospec!F14*s_SSLcm_m,".")</f>
        <v>2.4129807273225381E-15</v>
      </c>
    </row>
    <row r="16" spans="1:11">
      <c r="A16" s="82" t="s">
        <v>29</v>
      </c>
      <c r="B16" s="12" t="s">
        <v>50</v>
      </c>
      <c r="C16" s="2">
        <f>IFERROR((s_DL)/(Doses!H14*s_IRAiw*s_Fin*s_Fi*s_ETiw*(1/24)*s_EFiw),".")</f>
        <v>7.2727272727272723E-4</v>
      </c>
      <c r="D16" s="3">
        <f>IFERROR((s_DL)/(Doses!J14*s_GSFa*s_Fin*s_Fi*s_ETiw*(1/24)*s_EFiw*(1/365)),".")</f>
        <v>15.927272727272729</v>
      </c>
      <c r="E16" s="5">
        <f t="shared" si="24"/>
        <v>7.272395199887095E-4</v>
      </c>
      <c r="F16" s="3">
        <f t="shared" si="25"/>
        <v>2.6909090909090934E-5</v>
      </c>
      <c r="G16" s="3">
        <f t="shared" si="26"/>
        <v>0.58930909090909156</v>
      </c>
      <c r="H16" s="4">
        <f t="shared" si="27"/>
        <v>2.690786223958228E-5</v>
      </c>
      <c r="I16" s="3">
        <f>IFERROR(C16*Isospec!C15*Isospec!F15*s_SSLcm_m,".")</f>
        <v>2.3723636363636367E-15</v>
      </c>
      <c r="J16" s="3">
        <f>IFERROR(D16*Isospec!C15*Isospec!F15*s_SSLcm_m,".")</f>
        <v>5.195476363636365E-11</v>
      </c>
      <c r="K16" s="5">
        <f>IFERROR(E16*Isospec!C15*Isospec!F15*s_SSLcm_m,".")</f>
        <v>2.3722553142031705E-15</v>
      </c>
    </row>
    <row r="17" spans="1:11">
      <c r="A17" s="82" t="s">
        <v>32</v>
      </c>
      <c r="B17" s="12" t="s">
        <v>50</v>
      </c>
      <c r="C17" s="2">
        <f>IFERROR((s_DL)/(Doses!H15*s_IRAiw*s_Fin*s_Fi*s_ETiw*(1/24)*s_EFiw),".")</f>
        <v>7.2727272727272723E-4</v>
      </c>
      <c r="D17" s="3">
        <f>IFERROR((s_DL)/(Doses!J15*s_GSFa*s_Fin*s_Fi*s_ETiw*(1/24)*s_EFiw*(1/365)),".")</f>
        <v>15.927272727272729</v>
      </c>
      <c r="E17" s="5">
        <f t="shared" ref="E17:E20" si="28">IFERROR(IF(AND(ISNUMBER(C17),ISNUMBER(D17)),(1/((1/C17)+(1/D17))),IF(AND(ISNUMBER(C17),NOT(ISNUMBER(D17))),(1/(1/C17)),IF(AND(NOT(ISNUMBER(C17)),ISNUMBER(D17)),(1/(1/D17)),"."))),".")</f>
        <v>7.272395199887095E-4</v>
      </c>
      <c r="F17" s="3">
        <f t="shared" ref="F17:F23" si="29">IFERROR(C17/s_1_bq,".")</f>
        <v>2.6909090909090934E-5</v>
      </c>
      <c r="G17" s="3">
        <f t="shared" ref="G17:G23" si="30">IFERROR(D17/s_1_bq,".")</f>
        <v>0.58930909090909156</v>
      </c>
      <c r="H17" s="4">
        <f t="shared" ref="H17:H23" si="31">IFERROR(E17/s_1_bq,".")</f>
        <v>2.690786223958228E-5</v>
      </c>
      <c r="I17" s="3">
        <f>IFERROR(C17*Isospec!C16*Isospec!F16*s_SSLcm_m,".")</f>
        <v>2.1280000000000003E-15</v>
      </c>
      <c r="J17" s="3">
        <f>IFERROR(D17*Isospec!C16*Isospec!F16*s_SSLcm_m,".")</f>
        <v>4.6603200000000011E-11</v>
      </c>
      <c r="K17" s="5">
        <f>IFERROR(E17*Isospec!C16*Isospec!F16*s_SSLcm_m,".")</f>
        <v>2.1279028354869638E-15</v>
      </c>
    </row>
    <row r="18" spans="1:11">
      <c r="A18" s="82" t="s">
        <v>33</v>
      </c>
      <c r="B18" s="85" t="s">
        <v>50</v>
      </c>
      <c r="C18" s="2">
        <f>IFERROR((s_DL)/(Doses!H16*s_IRAiw*s_Fin*s_Fi*s_ETiw*(1/24)*s_EFiw),".")</f>
        <v>7.2727272727272723E-4</v>
      </c>
      <c r="D18" s="3">
        <f>IFERROR((s_DL)/(Doses!J16*s_GSFa*s_Fin*s_Fi*s_ETiw*(1/24)*s_EFiw*(1/365)),".")</f>
        <v>15.927272727272729</v>
      </c>
      <c r="E18" s="5">
        <f t="shared" si="28"/>
        <v>7.272395199887095E-4</v>
      </c>
      <c r="F18" s="3">
        <f t="shared" si="29"/>
        <v>2.6909090909090934E-5</v>
      </c>
      <c r="G18" s="3">
        <f t="shared" si="30"/>
        <v>0.58930909090909156</v>
      </c>
      <c r="H18" s="4">
        <f t="shared" si="31"/>
        <v>2.690786223958228E-5</v>
      </c>
      <c r="I18" s="3">
        <f>IFERROR(C18*Isospec!C17*Isospec!F17*s_SSLcm_m,".")</f>
        <v>2.1381818181818184E-15</v>
      </c>
      <c r="J18" s="3">
        <f>IFERROR(D18*Isospec!C17*Isospec!F17*s_SSLcm_m,".")</f>
        <v>4.6826181818181831E-11</v>
      </c>
      <c r="K18" s="5">
        <f>IFERROR(E18*Isospec!C17*Isospec!F17*s_SSLcm_m,".")</f>
        <v>2.138084188766806E-15</v>
      </c>
    </row>
    <row r="19" spans="1:11">
      <c r="A19" s="82" t="s">
        <v>34</v>
      </c>
      <c r="B19" s="85" t="s">
        <v>50</v>
      </c>
      <c r="C19" s="2">
        <f>IFERROR((s_DL)/(Doses!H17*s_IRAiw*s_Fin*s_Fi*s_ETiw*(1/24)*s_EFiw),".")</f>
        <v>7.2727272727272723E-4</v>
      </c>
      <c r="D19" s="3">
        <f>IFERROR((s_DL)/(Doses!J17*s_GSFa*s_Fin*s_Fi*s_ETiw*(1/24)*s_EFiw*(1/365)),".")</f>
        <v>15.927272727272729</v>
      </c>
      <c r="E19" s="5">
        <f t="shared" si="28"/>
        <v>7.272395199887095E-4</v>
      </c>
      <c r="F19" s="3">
        <f t="shared" si="29"/>
        <v>2.6909090909090934E-5</v>
      </c>
      <c r="G19" s="3">
        <f t="shared" si="30"/>
        <v>0.58930909090909156</v>
      </c>
      <c r="H19" s="4">
        <f t="shared" si="31"/>
        <v>2.690786223958228E-5</v>
      </c>
      <c r="I19" s="3">
        <f>IFERROR(C19*Isospec!C18*Isospec!F18*s_SSLcm_m,".")</f>
        <v>2.1789090909090911E-15</v>
      </c>
      <c r="J19" s="3">
        <f>IFERROR(D19*Isospec!C18*Isospec!F18*s_SSLcm_m,".")</f>
        <v>4.7718109090909106E-11</v>
      </c>
      <c r="K19" s="5">
        <f>IFERROR(E19*Isospec!C18*Isospec!F18*s_SSLcm_m,".")</f>
        <v>2.1788096018861736E-15</v>
      </c>
    </row>
    <row r="20" spans="1:11">
      <c r="A20" s="82" t="s">
        <v>36</v>
      </c>
      <c r="B20" s="85" t="s">
        <v>50</v>
      </c>
      <c r="C20" s="2">
        <f>IFERROR((s_DL)/(Doses!H18*s_IRAiw*s_Fin*s_Fi*s_ETiw*(1/24)*s_EFiw),".")</f>
        <v>7.2727272727272723E-4</v>
      </c>
      <c r="D20" s="3">
        <f>IFERROR((s_DL)/(Doses!J18*s_GSFa*s_Fin*s_Fi*s_ETiw*(1/24)*s_EFiw*(1/365)),".")</f>
        <v>15.927272727272729</v>
      </c>
      <c r="E20" s="5">
        <f t="shared" si="28"/>
        <v>7.272395199887095E-4</v>
      </c>
      <c r="F20" s="3">
        <f t="shared" si="29"/>
        <v>2.6909090909090934E-5</v>
      </c>
      <c r="G20" s="3">
        <f t="shared" si="30"/>
        <v>0.58930909090909156</v>
      </c>
      <c r="H20" s="4">
        <f t="shared" si="31"/>
        <v>2.690786223958228E-5</v>
      </c>
      <c r="I20" s="3">
        <f>IFERROR(C20*Isospec!C19*Isospec!F19*s_SSLcm_m,".")</f>
        <v>2.1381818181818184E-15</v>
      </c>
      <c r="J20" s="3">
        <f>IFERROR(D20*Isospec!C19*Isospec!F19*s_SSLcm_m,".")</f>
        <v>4.6826181818181831E-11</v>
      </c>
      <c r="K20" s="5">
        <f>IFERROR(E20*Isospec!C19*Isospec!F19*s_SSLcm_m,".")</f>
        <v>2.138084188766806E-15</v>
      </c>
    </row>
    <row r="21" spans="1:11">
      <c r="A21" s="82" t="s">
        <v>37</v>
      </c>
      <c r="B21" s="12" t="s">
        <v>50</v>
      </c>
      <c r="C21" s="2">
        <f>IFERROR((s_DL)/(Doses!H19*s_IRAiw*s_Fin*s_Fi*s_ETiw*(1/24)*s_EFiw),".")</f>
        <v>7.2727272727272723E-4</v>
      </c>
      <c r="D21" s="3">
        <f>IFERROR((s_DL)/(Doses!J19*s_GSFa*s_Fin*s_Fi*s_ETiw*(1/24)*s_EFiw*(1/365)),".")</f>
        <v>15.927272727272729</v>
      </c>
      <c r="E21" s="5">
        <f t="shared" ref="E21:E23" si="32">IFERROR(IF(AND(ISNUMBER(C21),ISNUMBER(D21)),(1/((1/C21)+(1/D21))),IF(AND(ISNUMBER(C21),NOT(ISNUMBER(D21))),(1/(1/C21)),IF(AND(NOT(ISNUMBER(C21)),ISNUMBER(D21)),(1/(1/D21)),"."))),".")</f>
        <v>7.272395199887095E-4</v>
      </c>
      <c r="F21" s="3">
        <f t="shared" si="29"/>
        <v>2.6909090909090934E-5</v>
      </c>
      <c r="G21" s="3">
        <f t="shared" si="30"/>
        <v>0.58930909090909156</v>
      </c>
      <c r="H21" s="4">
        <f t="shared" si="31"/>
        <v>2.690786223958228E-5</v>
      </c>
      <c r="I21" s="3">
        <f>IFERROR(C21*Isospec!C20*Isospec!F20*s_SSLcm_m,".")</f>
        <v>2.1687272727272729E-15</v>
      </c>
      <c r="J21" s="3">
        <f>IFERROR(D21*Isospec!C20*Isospec!F20*s_SSLcm_m,".")</f>
        <v>4.7495127272727292E-11</v>
      </c>
      <c r="K21" s="5">
        <f>IFERROR(E21*Isospec!C20*Isospec!F20*s_SSLcm_m,".")</f>
        <v>2.1686282486063315E-15</v>
      </c>
    </row>
    <row r="22" spans="1:11">
      <c r="A22" s="82" t="s">
        <v>38</v>
      </c>
      <c r="B22" s="85" t="s">
        <v>50</v>
      </c>
      <c r="C22" s="2">
        <f>IFERROR((s_DL)/(Doses!H20*s_IRAiw*s_Fin*s_Fi*s_ETiw*(1/24)*s_EFiw),".")</f>
        <v>7.2727272727272723E-4</v>
      </c>
      <c r="D22" s="3">
        <f>IFERROR((s_DL)/(Doses!J20*s_GSFa*s_Fin*s_Fi*s_ETiw*(1/24)*s_EFiw*(1/365)),".")</f>
        <v>15.927272727272729</v>
      </c>
      <c r="E22" s="5">
        <f t="shared" si="32"/>
        <v>7.272395199887095E-4</v>
      </c>
      <c r="F22" s="3">
        <f t="shared" si="29"/>
        <v>2.6909090909090934E-5</v>
      </c>
      <c r="G22" s="3">
        <f t="shared" si="30"/>
        <v>0.58930909090909156</v>
      </c>
      <c r="H22" s="4">
        <f t="shared" si="31"/>
        <v>2.690786223958228E-5</v>
      </c>
      <c r="I22" s="3">
        <f>IFERROR(C22*Isospec!C21*Isospec!F21*s_SSLcm_m,".")</f>
        <v>2.1789090909090911E-15</v>
      </c>
      <c r="J22" s="3">
        <f>IFERROR(D22*Isospec!C21*Isospec!F21*s_SSLcm_m,".")</f>
        <v>4.7718109090909106E-11</v>
      </c>
      <c r="K22" s="5">
        <f>IFERROR(E22*Isospec!C21*Isospec!F21*s_SSLcm_m,".")</f>
        <v>2.1788096018861736E-15</v>
      </c>
    </row>
    <row r="23" spans="1:11">
      <c r="A23" s="82" t="s">
        <v>39</v>
      </c>
      <c r="B23" s="85" t="s">
        <v>50</v>
      </c>
      <c r="C23" s="2">
        <f>IFERROR((s_DL)/(Doses!H21*s_IRAiw*s_Fin*s_Fi*s_ETiw*(1/24)*s_EFiw),".")</f>
        <v>7.2727272727272723E-4</v>
      </c>
      <c r="D23" s="3">
        <f>IFERROR((s_DL)/(Doses!J21*s_GSFa*s_Fin*s_Fi*s_ETiw*(1/24)*s_EFiw*(1/365)),".")</f>
        <v>15.927272727272729</v>
      </c>
      <c r="E23" s="5">
        <f t="shared" si="32"/>
        <v>7.272395199887095E-4</v>
      </c>
      <c r="F23" s="3">
        <f t="shared" si="29"/>
        <v>2.6909090909090934E-5</v>
      </c>
      <c r="G23" s="3">
        <f t="shared" si="30"/>
        <v>0.58930909090909156</v>
      </c>
      <c r="H23" s="4">
        <f t="shared" si="31"/>
        <v>2.690786223958228E-5</v>
      </c>
      <c r="I23" s="3">
        <f>IFERROR(C23*Isospec!C22*Isospec!F22*s_SSLcm_m,".")</f>
        <v>2.2196363636363638E-15</v>
      </c>
      <c r="J23" s="3">
        <f>IFERROR(D23*Isospec!C22*Isospec!F22*s_SSLcm_m,".")</f>
        <v>4.8610036363636374E-11</v>
      </c>
      <c r="K23" s="5">
        <f>IFERROR(E23*Isospec!C22*Isospec!F22*s_SSLcm_m,".")</f>
        <v>2.2195350150055416E-15</v>
      </c>
    </row>
    <row r="24" spans="1:11">
      <c r="A24" s="82" t="s">
        <v>26</v>
      </c>
      <c r="B24" s="12" t="s">
        <v>50</v>
      </c>
      <c r="C24" s="2">
        <f>IFERROR((s_DL)/(Doses!H22*s_IRAiw*s_Fin*s_Fi*s_ETiw*(1/24)*s_EFiw),".")</f>
        <v>7.2727272727272723E-4</v>
      </c>
      <c r="D24" s="3">
        <f>IFERROR((s_DL)/(Doses!J22*s_GSFa*s_Fin*s_Fi*s_ETiw*(1/24)*s_EFiw*(1/365)),".")</f>
        <v>15.927272727272729</v>
      </c>
      <c r="E24" s="5">
        <f t="shared" ref="E24:E25" si="33">IFERROR(IF(AND(ISNUMBER(C24),ISNUMBER(D24)),(1/((1/C24)+(1/D24))),IF(AND(ISNUMBER(C24),NOT(ISNUMBER(D24))),(1/(1/C24)),IF(AND(NOT(ISNUMBER(C24)),ISNUMBER(D24)),(1/(1/D24)),"."))),".")</f>
        <v>7.272395199887095E-4</v>
      </c>
      <c r="F24" s="3">
        <f t="shared" ref="F24:F25" si="34">IFERROR(C24/s_1_bq,".")</f>
        <v>2.6909090909090934E-5</v>
      </c>
      <c r="G24" s="3">
        <f t="shared" ref="G24:G25" si="35">IFERROR(D24/s_1_bq,".")</f>
        <v>0.58930909090909156</v>
      </c>
      <c r="H24" s="4">
        <f t="shared" ref="H24:H25" si="36">IFERROR(E24/s_1_bq,".")</f>
        <v>2.690786223958228E-5</v>
      </c>
      <c r="I24" s="3">
        <f>IFERROR(C24*Isospec!C23*Isospec!F23*s_SSLcm_m,".")</f>
        <v>2.2909090909090913E-15</v>
      </c>
      <c r="J24" s="3">
        <f>IFERROR(D24*Isospec!C23*Isospec!F23*s_SSLcm_m,".")</f>
        <v>5.0170909090909108E-11</v>
      </c>
      <c r="K24" s="5">
        <f>IFERROR(E24*Isospec!C23*Isospec!F23*s_SSLcm_m,".")</f>
        <v>2.2908044879644348E-15</v>
      </c>
    </row>
    <row r="25" spans="1:11">
      <c r="A25" s="83" t="s">
        <v>27</v>
      </c>
      <c r="B25" s="85" t="s">
        <v>44</v>
      </c>
      <c r="C25" s="2">
        <f>IFERROR((s_DL)/(Doses!H23*s_IRAiw*s_Fin*s_Fi*s_ETiw*(1/24)*s_EFiw),".")</f>
        <v>7.2727272727272723E-4</v>
      </c>
      <c r="D25" s="3">
        <f>IFERROR((s_DL)/(Doses!J23*s_GSFa*s_Fin*s_Fi*s_ETiw*(1/24)*s_EFiw*(1/365)),".")</f>
        <v>15.927272727272729</v>
      </c>
      <c r="E25" s="5">
        <f t="shared" si="33"/>
        <v>7.272395199887095E-4</v>
      </c>
      <c r="F25" s="3">
        <f t="shared" si="34"/>
        <v>2.6909090909090934E-5</v>
      </c>
      <c r="G25" s="3">
        <f t="shared" si="35"/>
        <v>0.58930909090909156</v>
      </c>
      <c r="H25" s="4">
        <f t="shared" si="36"/>
        <v>2.690786223958228E-5</v>
      </c>
      <c r="I25" s="3">
        <f>IFERROR(C25*Isospec!C24*Isospec!F24*s_SSLcm_m,".")</f>
        <v>2.3010909090909091E-15</v>
      </c>
      <c r="J25" s="3">
        <f>IFERROR(D25*Isospec!C24*Isospec!F24*s_SSLcm_m,".")</f>
        <v>5.0393890909090929E-11</v>
      </c>
      <c r="K25" s="5">
        <f>IFERROR(E25*Isospec!C24*Isospec!F24*s_SSLcm_m,".")</f>
        <v>2.3009858412442769E-15</v>
      </c>
    </row>
    <row r="26" spans="1:11">
      <c r="A26" s="82" t="s">
        <v>30</v>
      </c>
      <c r="B26" s="85" t="s">
        <v>50</v>
      </c>
      <c r="C26" s="2">
        <f>IFERROR((s_DL)/(Doses!H24*s_IRAiw*s_Fin*s_Fi*s_ETiw*(1/24)*s_EFiw),".")</f>
        <v>7.2727272727272723E-4</v>
      </c>
      <c r="D26" s="3">
        <f>IFERROR((s_DL)/(Doses!J24*s_GSFa*s_Fin*s_Fi*s_ETiw*(1/24)*s_EFiw*(1/365)),".")</f>
        <v>15.927272727272729</v>
      </c>
      <c r="E26" s="5">
        <f t="shared" ref="E26:E27" si="37">IFERROR(IF(AND(ISNUMBER(C26),ISNUMBER(D26)),(1/((1/C26)+(1/D26))),IF(AND(ISNUMBER(C26),NOT(ISNUMBER(D26))),(1/(1/C26)),IF(AND(NOT(ISNUMBER(C26)),ISNUMBER(D26)),(1/(1/D26)),"."))),".")</f>
        <v>7.272395199887095E-4</v>
      </c>
      <c r="F26" s="3">
        <f t="shared" ref="F26" si="38">IFERROR(C26/s_1_bq,".")</f>
        <v>2.6909090909090934E-5</v>
      </c>
      <c r="G26" s="3">
        <f t="shared" ref="G26" si="39">IFERROR(D26/s_1_bq,".")</f>
        <v>0.58930909090909156</v>
      </c>
      <c r="H26" s="4">
        <f t="shared" ref="H26" si="40">IFERROR(E26/s_1_bq,".")</f>
        <v>2.690786223958228E-5</v>
      </c>
      <c r="I26" s="3">
        <f>IFERROR(C26*Isospec!C25*Isospec!F25*s_SSLcm_m,".")</f>
        <v>2.2196363636363638E-15</v>
      </c>
      <c r="J26" s="3">
        <f>IFERROR(D26*Isospec!C25*Isospec!F25*s_SSLcm_m,".")</f>
        <v>4.8610036363636374E-11</v>
      </c>
      <c r="K26" s="5">
        <f>IFERROR(E26*Isospec!C25*Isospec!F25*s_SSLcm_m,".")</f>
        <v>2.2195350150055416E-15</v>
      </c>
    </row>
    <row r="27" spans="1:11">
      <c r="A27" s="83" t="s">
        <v>31</v>
      </c>
      <c r="B27" s="85" t="s">
        <v>44</v>
      </c>
      <c r="C27" s="2">
        <f>IFERROR((s_DL)/(Doses!H25*s_IRAiw*s_Fin*s_Fi*s_ETiw*(1/24)*s_EFiw),".")</f>
        <v>7.2727272727272723E-4</v>
      </c>
      <c r="D27" s="3">
        <f>IFERROR((s_DL)/(Doses!J25*s_GSFa*s_Fin*s_Fi*s_ETiw*(1/24)*s_EFiw*(1/365)),".")</f>
        <v>15.927272727272729</v>
      </c>
      <c r="E27" s="5">
        <f t="shared" si="37"/>
        <v>7.272395199887095E-4</v>
      </c>
      <c r="F27" s="3">
        <f t="shared" ref="F27" si="41">IFERROR(C27/s_1_bq,".")</f>
        <v>2.6909090909090934E-5</v>
      </c>
      <c r="G27" s="3">
        <f t="shared" ref="G27" si="42">IFERROR(D27/s_1_bq,".")</f>
        <v>0.58930909090909156</v>
      </c>
      <c r="H27" s="4">
        <f t="shared" ref="H27" si="43">IFERROR(E27/s_1_bq,".")</f>
        <v>2.690786223958228E-5</v>
      </c>
      <c r="I27" s="3">
        <f>IFERROR(C27*Isospec!C26*Isospec!F26*s_SSLcm_m,".")</f>
        <v>2.2603636363636364E-15</v>
      </c>
      <c r="J27" s="3">
        <f>IFERROR(D27*Isospec!C26*Isospec!F26*s_SSLcm_m,".")</f>
        <v>4.9501963636363648E-11</v>
      </c>
      <c r="K27" s="5">
        <f>IFERROR(E27*Isospec!C26*Isospec!F26*s_SSLcm_m,".")</f>
        <v>2.2602604281249093E-15</v>
      </c>
    </row>
    <row r="28" spans="1:11">
      <c r="A28" s="82" t="s">
        <v>35</v>
      </c>
      <c r="B28" s="12" t="s">
        <v>50</v>
      </c>
      <c r="C28" s="2">
        <f>IFERROR((s_DL)/(Doses!H26*s_IRAiw*s_Fin*s_Fi*s_ETiw*(1/24)*s_EFiw),".")</f>
        <v>7.2727272727272723E-4</v>
      </c>
      <c r="D28" s="3">
        <f>IFERROR((s_DL)/(Doses!J26*s_GSFa*s_Fin*s_Fi*s_ETiw*(1/24)*s_EFiw*(1/365)),".")</f>
        <v>15.927272727272729</v>
      </c>
      <c r="E28" s="5">
        <f t="shared" ref="E28:E31" si="44">IFERROR(IF(AND(ISNUMBER(C28),ISNUMBER(D28)),(1/((1/C28)+(1/D28))),IF(AND(ISNUMBER(C28),NOT(ISNUMBER(D28))),(1/(1/C28)),IF(AND(NOT(ISNUMBER(C28)),ISNUMBER(D28)),(1/(1/D28)),"."))),".")</f>
        <v>7.272395199887095E-4</v>
      </c>
      <c r="F28" s="3">
        <f t="shared" ref="F28:F31" si="45">IFERROR(C28/s_1_bq,".")</f>
        <v>2.6909090909090934E-5</v>
      </c>
      <c r="G28" s="3">
        <f t="shared" ref="G28:G31" si="46">IFERROR(D28/s_1_bq,".")</f>
        <v>0.58930909090909156</v>
      </c>
      <c r="H28" s="4">
        <f t="shared" ref="H28:H31" si="47">IFERROR(E28/s_1_bq,".")</f>
        <v>2.690786223958228E-5</v>
      </c>
      <c r="I28" s="3">
        <f>IFERROR(C28*Isospec!C27*Isospec!F27*s_SSLcm_m,".")</f>
        <v>2.331636363636364E-15</v>
      </c>
      <c r="J28" s="3">
        <f>IFERROR(D28*Isospec!C27*Isospec!F27*s_SSLcm_m,".")</f>
        <v>5.1062836363636376E-11</v>
      </c>
      <c r="K28" s="5">
        <f>IFERROR(E28*Isospec!C27*Isospec!F27*s_SSLcm_m,".")</f>
        <v>2.3315299010838025E-15</v>
      </c>
    </row>
    <row r="29" spans="1:11">
      <c r="A29" s="82" t="s">
        <v>40</v>
      </c>
      <c r="B29" s="85" t="s">
        <v>50</v>
      </c>
      <c r="C29" s="2">
        <f>IFERROR((s_DL)/(Doses!H27*s_IRAiw*s_Fin*s_Fi*s_ETiw*(1/24)*s_EFiw),".")</f>
        <v>7.2727272727272723E-4</v>
      </c>
      <c r="D29" s="3">
        <f>IFERROR((s_DL)/(Doses!J27*s_GSFa*s_Fin*s_Fi*s_ETiw*(1/24)*s_EFiw*(1/365)),".")</f>
        <v>15.927272727272729</v>
      </c>
      <c r="E29" s="5">
        <f t="shared" si="44"/>
        <v>7.272395199887095E-4</v>
      </c>
      <c r="F29" s="3">
        <f t="shared" si="45"/>
        <v>2.6909090909090934E-5</v>
      </c>
      <c r="G29" s="3">
        <f t="shared" si="46"/>
        <v>0.58930909090909156</v>
      </c>
      <c r="H29" s="4">
        <f t="shared" si="47"/>
        <v>2.690786223958228E-5</v>
      </c>
      <c r="I29" s="3">
        <f>IFERROR(C29*Isospec!C28*Isospec!F28*s_SSLcm_m,".")</f>
        <v>2.0974545454545458E-15</v>
      </c>
      <c r="J29" s="3">
        <f>IFERROR(D29*Isospec!C28*Isospec!F28*s_SSLcm_m,".")</f>
        <v>4.5934254545454557E-11</v>
      </c>
      <c r="K29" s="5">
        <f>IFERROR(E29*Isospec!C28*Isospec!F28*s_SSLcm_m,".")</f>
        <v>2.0973587756474383E-15</v>
      </c>
    </row>
    <row r="30" spans="1:11">
      <c r="A30" s="82" t="s">
        <v>41</v>
      </c>
      <c r="B30" s="12" t="s">
        <v>50</v>
      </c>
      <c r="C30" s="2">
        <f>IFERROR((s_DL)/(Doses!H28*s_IRAiw*s_Fin*s_Fi*s_ETiw*(1/24)*s_EFiw),".")</f>
        <v>7.2727272727272723E-4</v>
      </c>
      <c r="D30" s="3">
        <f>IFERROR((s_DL)/(Doses!J28*s_GSFa*s_Fin*s_Fi*s_ETiw*(1/24)*s_EFiw*(1/365)),".")</f>
        <v>15.927272727272729</v>
      </c>
      <c r="E30" s="5">
        <f t="shared" si="44"/>
        <v>7.272395199887095E-4</v>
      </c>
      <c r="F30" s="3">
        <f t="shared" si="45"/>
        <v>2.6909090909090934E-5</v>
      </c>
      <c r="G30" s="3">
        <f t="shared" si="46"/>
        <v>0.58930909090909156</v>
      </c>
      <c r="H30" s="4">
        <f t="shared" si="47"/>
        <v>2.690786223958228E-5</v>
      </c>
      <c r="I30" s="3">
        <f>IFERROR(C30*Isospec!C29*Isospec!F29*s_SSLcm_m,".")</f>
        <v>2.1280000000000003E-15</v>
      </c>
      <c r="J30" s="3">
        <f>IFERROR(D30*Isospec!C29*Isospec!F29*s_SSLcm_m,".")</f>
        <v>4.6603200000000011E-11</v>
      </c>
      <c r="K30" s="5">
        <f>IFERROR(E30*Isospec!C29*Isospec!F29*s_SSLcm_m,".")</f>
        <v>2.1279028354869638E-15</v>
      </c>
    </row>
    <row r="31" spans="1:11">
      <c r="A31" s="82" t="s">
        <v>42</v>
      </c>
      <c r="B31" s="85" t="s">
        <v>50</v>
      </c>
      <c r="C31" s="2">
        <f>IFERROR((s_DL)/(Doses!H29*s_IRAiw*s_Fin*s_Fi*s_ETiw*(1/24)*s_EFiw),".")</f>
        <v>7.2727272727272723E-4</v>
      </c>
      <c r="D31" s="3">
        <f>IFERROR((s_DL)/(Doses!J29*s_GSFa*s_Fin*s_Fi*s_ETiw*(1/24)*s_EFiw*(1/365)),".")</f>
        <v>15.927272727272729</v>
      </c>
      <c r="E31" s="5">
        <f t="shared" si="44"/>
        <v>7.272395199887095E-4</v>
      </c>
      <c r="F31" s="3">
        <f t="shared" si="45"/>
        <v>2.6909090909090934E-5</v>
      </c>
      <c r="G31" s="3">
        <f t="shared" si="46"/>
        <v>0.58930909090909156</v>
      </c>
      <c r="H31" s="4">
        <f t="shared" si="47"/>
        <v>2.690786223958228E-5</v>
      </c>
      <c r="I31" s="3">
        <f>IFERROR(C31*Isospec!C30*Isospec!F30*s_SSLcm_m,".")</f>
        <v>2.1381818181818184E-15</v>
      </c>
      <c r="J31" s="3">
        <f>IFERROR(D31*Isospec!C30*Isospec!F30*s_SSLcm_m,".")</f>
        <v>4.6826181818181831E-11</v>
      </c>
      <c r="K31" s="5">
        <f>IFERROR(E31*Isospec!C30*Isospec!F30*s_SSLcm_m,".")</f>
        <v>2.138084188766806E-15</v>
      </c>
    </row>
    <row r="32" spans="1:11">
      <c r="A32" s="82" t="s">
        <v>25</v>
      </c>
      <c r="B32" s="12" t="s">
        <v>50</v>
      </c>
      <c r="C32" s="2">
        <f>IFERROR((s_DL)/(Doses!H30*s_IRAiw*s_Fin*s_Fi*s_ETiw*(1/24)*s_EFiw),".")</f>
        <v>7.2727272727272723E-4</v>
      </c>
      <c r="D32" s="3">
        <f>IFERROR((s_DL)/(Doses!J30*s_GSFa*s_Fin*s_Fi*s_ETiw*(1/24)*s_EFiw*(1/365)),".")</f>
        <v>15.927272727272729</v>
      </c>
      <c r="E32" s="5">
        <f t="shared" ref="E32" si="48">IFERROR(IF(AND(ISNUMBER(C32),ISNUMBER(D32)),(1/((1/C32)+(1/D32))),IF(AND(ISNUMBER(C32),NOT(ISNUMBER(D32))),(1/(1/C32)),IF(AND(NOT(ISNUMBER(C32)),ISNUMBER(D32)),(1/(1/D32)),"."))),".")</f>
        <v>7.272395199887095E-4</v>
      </c>
      <c r="F32" s="3">
        <f t="shared" ref="F32" si="49">IFERROR(C32/s_1_bq,".")</f>
        <v>2.6909090909090934E-5</v>
      </c>
      <c r="G32" s="3">
        <f t="shared" ref="G32" si="50">IFERROR(D32/s_1_bq,".")</f>
        <v>0.58930909090909156</v>
      </c>
      <c r="H32" s="4">
        <f t="shared" ref="H32" si="51">IFERROR(E32/s_1_bq,".")</f>
        <v>2.690786223958228E-5</v>
      </c>
      <c r="I32" s="3">
        <f>IFERROR(C32*Isospec!C31*Isospec!F31*s_SSLcm_m,".")</f>
        <v>2.3723636363636367E-15</v>
      </c>
      <c r="J32" s="3">
        <f>IFERROR(D32*Isospec!C31*Isospec!F31*s_SSLcm_m,".")</f>
        <v>5.195476363636365E-11</v>
      </c>
      <c r="K32" s="5">
        <f>IFERROR(E32*Isospec!C31*Isospec!F31*s_SSLcm_m,".")</f>
        <v>2.3722553142031705E-15</v>
      </c>
    </row>
    <row r="33" spans="1:11">
      <c r="A33" s="30" t="s">
        <v>14</v>
      </c>
      <c r="B33" s="30" t="s">
        <v>50</v>
      </c>
      <c r="C33" s="71">
        <f t="shared" ref="C33:H33" si="52">IFERROR(1/SUM(1/C34,1/C35,1/C36,1/C37,1/C38,1/C39,1/C40,1/C41,1/C42,1/C43,1/C44,1/C45,1/C46),0)</f>
        <v>6.0607878842425887E-5</v>
      </c>
      <c r="D33" s="72">
        <f t="shared" si="52"/>
        <v>1.3273125466491269</v>
      </c>
      <c r="E33" s="73">
        <f t="shared" si="52"/>
        <v>6.0605111485737031E-5</v>
      </c>
      <c r="F33" s="71">
        <f t="shared" si="52"/>
        <v>2.2424915171697595E-6</v>
      </c>
      <c r="G33" s="72">
        <f t="shared" si="52"/>
        <v>4.9110564226017749E-2</v>
      </c>
      <c r="H33" s="73">
        <f t="shared" si="52"/>
        <v>2.2423891249722721E-6</v>
      </c>
      <c r="I33" s="20">
        <f>IFERROR(C33*Isospec!$C$4*Isospec!$F$4*s_SSLcm_m,".")</f>
        <v>2.0449098321434497E-16</v>
      </c>
      <c r="J33" s="19">
        <f>IFERROR(D33*Isospec!$C$4*Isospec!$F$4*s_SSLcm_m,".")</f>
        <v>4.4783525323941546E-12</v>
      </c>
      <c r="K33" s="21">
        <f>IFERROR(E33*Isospec!$C$4*Isospec!$F$4*s_SSLcm_m,".")</f>
        <v>2.0448164615287675E-16</v>
      </c>
    </row>
    <row r="34" spans="1:11">
      <c r="A34" s="31" t="s">
        <v>137</v>
      </c>
      <c r="B34" s="32">
        <v>1</v>
      </c>
      <c r="C34" s="65">
        <f>IFERROR(VLOOKUP("Am-241",$A$4:$L$32,3)/$B34,0)</f>
        <v>7.2727272727272723E-4</v>
      </c>
      <c r="D34" s="66">
        <f>IFERROR(VLOOKUP("Am-241",$A$4:$L$32,4)/$B34,0)</f>
        <v>15.927272727272729</v>
      </c>
      <c r="E34" s="67">
        <f>IFERROR(IF(AND(C34&lt;&gt;0,D34&lt;&gt;0),(1/((1/C34)+(1/D34))),IF(AND(C34&lt;&gt;0,D34=0),(1/(1/C34)),IF(AND(C34=0,D34&lt;&gt;0),(1/(1/D34)),0))),0)</f>
        <v>7.272395199887095E-4</v>
      </c>
      <c r="F34" s="65">
        <f>IFERROR(VLOOKUP("Am-241",$A$4:$L$32,6)/$B34,0)</f>
        <v>2.6909090909090934E-5</v>
      </c>
      <c r="G34" s="66">
        <f>IFERROR(VLOOKUP("Am-241",$A$4:$L$32,7)/$B34,0)</f>
        <v>0.58930909090909156</v>
      </c>
      <c r="H34" s="67">
        <f>IFERROR(IF(AND(F34&lt;&gt;0,G34&lt;&gt;0),(1/((1/F34)+(1/G34))),IF(AND(F34&lt;&gt;0,G34=0),(1/(1/F34)),IF(AND(F34=0,G34&lt;&gt;0),(1/(1/G34)),0))),0)</f>
        <v>2.6907862239582276E-5</v>
      </c>
      <c r="I34" s="65">
        <f>IFERROR(VLOOKUP("Am-241",$A$4:$K$32,9)/$B34,0)</f>
        <v>2.453818181818182E-15</v>
      </c>
      <c r="J34" s="66">
        <f>IFERROR(VLOOKUP("Am-241",$A$4:$L$32,10)/$B34,0)</f>
        <v>5.3738618181818193E-11</v>
      </c>
      <c r="K34" s="67">
        <f>IFERROR(VLOOKUP("Am-241",$A$4:$L$32,11)/$B34,0)</f>
        <v>2.4537061404419058E-15</v>
      </c>
    </row>
    <row r="35" spans="1:11">
      <c r="A35" s="31" t="s">
        <v>138</v>
      </c>
      <c r="B35" s="32">
        <v>1</v>
      </c>
      <c r="C35" s="65">
        <f>IFERROR(VLOOKUP("Np-237",$A$4:$L$32,3)/$B35,0)</f>
        <v>7.2727272727272723E-4</v>
      </c>
      <c r="D35" s="66">
        <f>IFERROR(VLOOKUP("Np-237",$A$4:$L$32,4)/$B35,0)</f>
        <v>15.927272727272729</v>
      </c>
      <c r="E35" s="67">
        <f t="shared" ref="E35:E46" si="53">IFERROR(IF(AND(C35&lt;&gt;0,D35&lt;&gt;0),(1/((1/C35)+(1/D35))),IF(AND(C35&lt;&gt;0,D35=0),(1/(1/C35)),IF(AND(C35=0,D35&lt;&gt;0),(1/(1/D35)),0))),0)</f>
        <v>7.272395199887095E-4</v>
      </c>
      <c r="F35" s="65">
        <f>IFERROR(VLOOKUP("Np-237",$A$4:$L$32,6)/$B35,0)</f>
        <v>2.6909090909090934E-5</v>
      </c>
      <c r="G35" s="66">
        <f>IFERROR(VLOOKUP("Np-237",$A$4:$L$32,7)/$B35,0)</f>
        <v>0.58930909090909156</v>
      </c>
      <c r="H35" s="67">
        <f t="shared" ref="H35" si="54">IFERROR(IF(AND(F35&lt;&gt;0,G35&lt;&gt;0),(1/((1/F35)+(1/G35))),IF(AND(F35&lt;&gt;0,G35=0),(1/(1/F35)),IF(AND(F35=0,G35&lt;&gt;0),(1/(1/G35)),0))),0)</f>
        <v>2.6907862239582276E-5</v>
      </c>
      <c r="I35" s="65">
        <f>IFERROR(VLOOKUP("Np-237",$A$4:$L$32,9)/$B35,0)</f>
        <v>2.4130909090909094E-15</v>
      </c>
      <c r="J35" s="66">
        <f>IFERROR(VLOOKUP("Np-237",$A$4:$L$32,10)/$B35,0)</f>
        <v>5.2846690909090925E-11</v>
      </c>
      <c r="K35" s="67">
        <f>IFERROR(VLOOKUP("Np-237",$A$4:$L$32,11)/$B35,0)</f>
        <v>2.4129807273225381E-15</v>
      </c>
    </row>
    <row r="36" spans="1:11">
      <c r="A36" s="31" t="s">
        <v>139</v>
      </c>
      <c r="B36" s="32">
        <v>1</v>
      </c>
      <c r="C36" s="65">
        <f>IFERROR(VLOOKUP("Pa-233",$A$4:$L$32,3)/$B36,0)</f>
        <v>7.2727272727272723E-4</v>
      </c>
      <c r="D36" s="66">
        <f>IFERROR(VLOOKUP("Pa-233",$A$4:$L$32,4)/$B36,0)</f>
        <v>15.927272727272729</v>
      </c>
      <c r="E36" s="67">
        <f>IFERROR(IF(AND(C36&lt;&gt;0,D36&lt;&gt;0),(1/((1/C36)+(1/D36))),IF(AND(C36&lt;&gt;0,D36=0),(1/(1/C36)),IF(AND(C36=0,D36&lt;&gt;0),(1/(1/D36)),0))),0)</f>
        <v>7.272395199887095E-4</v>
      </c>
      <c r="F36" s="65">
        <f>IFERROR(VLOOKUP("Pa-233",$A$4:$L$32,6)/$B36,0)</f>
        <v>2.6909090909090934E-5</v>
      </c>
      <c r="G36" s="66">
        <f>IFERROR(VLOOKUP("Pa-233",$A$4:$L$32,7)/$B36,0)</f>
        <v>0.58930909090909156</v>
      </c>
      <c r="H36" s="67">
        <f>IFERROR(IF(AND(F36&lt;&gt;0,G36&lt;&gt;0),(1/((1/F36)+(1/G36))),IF(AND(F36&lt;&gt;0,G36=0),(1/(1/F36)),IF(AND(F36=0,G36&lt;&gt;0),(1/(1/G36)),0))),0)</f>
        <v>2.6907862239582276E-5</v>
      </c>
      <c r="I36" s="65">
        <f>IFERROR(VLOOKUP("Pa-233",$A$4:$L$32,9)/$B36,0)</f>
        <v>2.3723636363636367E-15</v>
      </c>
      <c r="J36" s="66">
        <f>IFERROR(VLOOKUP("Pa-233",$A$4:$L$32,10)/$B36,0)</f>
        <v>5.195476363636365E-11</v>
      </c>
      <c r="K36" s="67">
        <f>IFERROR(VLOOKUP("Pa-233",$A$4:$L$32,11)/$B36,0)</f>
        <v>2.3722553142031705E-15</v>
      </c>
    </row>
    <row r="37" spans="1:11">
      <c r="A37" s="31" t="s">
        <v>140</v>
      </c>
      <c r="B37" s="32">
        <v>1</v>
      </c>
      <c r="C37" s="65">
        <f>IFERROR(VLOOKUP("U-233",$A$4:$L$32,3)/$B37,0)</f>
        <v>7.2727272727272723E-4</v>
      </c>
      <c r="D37" s="66">
        <f>IFERROR(VLOOKUP("U-233",$A$4:$L$32,4)/$B37,0)</f>
        <v>15.927272727272729</v>
      </c>
      <c r="E37" s="67">
        <f t="shared" si="53"/>
        <v>7.272395199887095E-4</v>
      </c>
      <c r="F37" s="65">
        <f>IFERROR(VLOOKUP("U-233",$A$4:$L$32,6)/$B37,0)</f>
        <v>2.6909090909090934E-5</v>
      </c>
      <c r="G37" s="66">
        <f>IFERROR(VLOOKUP("U-233",$A$4:$L$32,7)/$B37,0)</f>
        <v>0.58930909090909156</v>
      </c>
      <c r="H37" s="67">
        <f t="shared" ref="H37:H46" si="55">IFERROR(IF(AND(F37&lt;&gt;0,G37&lt;&gt;0),(1/((1/F37)+(1/G37))),IF(AND(F37&lt;&gt;0,G37=0),(1/(1/F37)),IF(AND(F37=0,G37&lt;&gt;0),(1/(1/G37)),0))),0)</f>
        <v>2.6907862239582276E-5</v>
      </c>
      <c r="I37" s="65">
        <f>IFERROR(VLOOKUP("U-233",$A$4:$L$32,9)/$B37,0)</f>
        <v>2.3723636363636367E-15</v>
      </c>
      <c r="J37" s="66">
        <f>IFERROR(VLOOKUP("U-233",$A$4:$L$32,10)/$B37,0)</f>
        <v>5.195476363636365E-11</v>
      </c>
      <c r="K37" s="67">
        <f>IFERROR(VLOOKUP("U-233",$A$4:$L$32,11)/$B37,0)</f>
        <v>2.3722553142031705E-15</v>
      </c>
    </row>
    <row r="38" spans="1:11">
      <c r="A38" s="31" t="s">
        <v>141</v>
      </c>
      <c r="B38" s="32">
        <v>1</v>
      </c>
      <c r="C38" s="65">
        <f>IFERROR(VLOOKUP("Th-229",$A$4:$L$32,3)/$B38,0)</f>
        <v>7.2727272727272723E-4</v>
      </c>
      <c r="D38" s="66">
        <f>IFERROR(VLOOKUP("Th-229",$A$4:$L$32,4)/$B38,0)</f>
        <v>15.927272727272729</v>
      </c>
      <c r="E38" s="67">
        <f t="shared" si="53"/>
        <v>7.272395199887095E-4</v>
      </c>
      <c r="F38" s="65">
        <f>IFERROR(VLOOKUP("Th-229",$A$4:$L$32,6)/$B38,0)</f>
        <v>2.6909090909090934E-5</v>
      </c>
      <c r="G38" s="66">
        <f>IFERROR(VLOOKUP("Th-229",$A$4:$L$32,7)/$B38,0)</f>
        <v>0.58930909090909156</v>
      </c>
      <c r="H38" s="67">
        <f t="shared" si="55"/>
        <v>2.6907862239582276E-5</v>
      </c>
      <c r="I38" s="65">
        <f>IFERROR(VLOOKUP("Th-229",$A$4:$L$32,9)/$B38,0)</f>
        <v>2.331636363636364E-15</v>
      </c>
      <c r="J38" s="66">
        <f>IFERROR(VLOOKUP("Th-229",$A$4:$L$32,10)/$B38,0)</f>
        <v>5.1062836363636376E-11</v>
      </c>
      <c r="K38" s="67">
        <f>IFERROR(VLOOKUP("Th-229",$A$4:$L$32,11)/$B38,0)</f>
        <v>2.3315299010838025E-15</v>
      </c>
    </row>
    <row r="39" spans="1:11">
      <c r="A39" s="31" t="s">
        <v>142</v>
      </c>
      <c r="B39" s="32">
        <v>1</v>
      </c>
      <c r="C39" s="65">
        <f>IFERROR(VLOOKUP("Ra-225",$A$4:$L$32,3)/$B39,0)</f>
        <v>7.2727272727272723E-4</v>
      </c>
      <c r="D39" s="66">
        <f>IFERROR(VLOOKUP("Ra-225",$A$4:$L$32,4)/$B39,0)</f>
        <v>15.927272727272729</v>
      </c>
      <c r="E39" s="67">
        <f t="shared" si="53"/>
        <v>7.272395199887095E-4</v>
      </c>
      <c r="F39" s="65">
        <f>IFERROR(VLOOKUP("Ra-225",$A$4:$L$32,6)/$B39,0)</f>
        <v>2.6909090909090934E-5</v>
      </c>
      <c r="G39" s="66">
        <f>IFERROR(VLOOKUP("Ra-225",$A$4:$L$32,7)/$B39,0)</f>
        <v>0.58930909090909156</v>
      </c>
      <c r="H39" s="67">
        <f t="shared" si="55"/>
        <v>2.6907862239582276E-5</v>
      </c>
      <c r="I39" s="65">
        <f>IFERROR(VLOOKUP("Ra-225",$A$4:$L$32,9)/$B39,0)</f>
        <v>2.2909090909090913E-15</v>
      </c>
      <c r="J39" s="66">
        <f>IFERROR(VLOOKUP("Ra-225",$A$4:$L$32,10)/$B39,0)</f>
        <v>5.0170909090909108E-11</v>
      </c>
      <c r="K39" s="67">
        <f>IFERROR(VLOOKUP("Ra-225",$A$4:$L$32,11)/$B39,0)</f>
        <v>2.2908044879644348E-15</v>
      </c>
    </row>
    <row r="40" spans="1:11">
      <c r="A40" s="31" t="s">
        <v>143</v>
      </c>
      <c r="B40" s="32">
        <v>1</v>
      </c>
      <c r="C40" s="65">
        <f>IFERROR(VLOOKUP("Ac-225",$A$4:$L$32,3)/$B40,0)</f>
        <v>7.2727272727272723E-4</v>
      </c>
      <c r="D40" s="66">
        <f>IFERROR(VLOOKUP("Ac-225",$A$4:$L$32,4)/$B40,0)</f>
        <v>15.927272727272729</v>
      </c>
      <c r="E40" s="67">
        <f t="shared" si="53"/>
        <v>7.272395199887095E-4</v>
      </c>
      <c r="F40" s="65">
        <f>IFERROR(VLOOKUP("Ac-225",$A$4:$L$32,6)/$B40,0)</f>
        <v>2.6909090909090934E-5</v>
      </c>
      <c r="G40" s="66">
        <f>IFERROR(VLOOKUP("Ac-225",$A$4:$L$32,7)/$B40,0)</f>
        <v>0.58930909090909156</v>
      </c>
      <c r="H40" s="67">
        <f t="shared" si="55"/>
        <v>2.6907862239582276E-5</v>
      </c>
      <c r="I40" s="65">
        <f>IFERROR(VLOOKUP("Ac-225",$A$4:$L$32,9)/$B40,0)</f>
        <v>2.2909090909090913E-15</v>
      </c>
      <c r="J40" s="66">
        <f>IFERROR(VLOOKUP("Ac-225",$A$4:$L$32,10)/$B40,0)</f>
        <v>5.0170909090909108E-11</v>
      </c>
      <c r="K40" s="67">
        <f>IFERROR(VLOOKUP("Ac-225",$A$4:$L$32,11)/$B40,0)</f>
        <v>2.2908044879644348E-15</v>
      </c>
    </row>
    <row r="41" spans="1:11">
      <c r="A41" s="31" t="s">
        <v>144</v>
      </c>
      <c r="B41" s="32">
        <v>1</v>
      </c>
      <c r="C41" s="65">
        <f>IFERROR(VLOOKUP("Fr-221",$A$4:$L$32,3)/$B41,0)</f>
        <v>7.2727272727272723E-4</v>
      </c>
      <c r="D41" s="66">
        <f>IFERROR(VLOOKUP("Fr-221",$A$4:$L$32,4)/$B41,0)</f>
        <v>15.927272727272729</v>
      </c>
      <c r="E41" s="67">
        <f t="shared" si="53"/>
        <v>7.272395199887095E-4</v>
      </c>
      <c r="F41" s="65">
        <f>IFERROR(VLOOKUP("Fr-221",$A$4:$L$32,6)/$B41,0)</f>
        <v>2.6909090909090934E-5</v>
      </c>
      <c r="G41" s="66">
        <f>IFERROR(VLOOKUP("Fr-221",$A$4:$L$32,7)/$B41,0)</f>
        <v>0.58930909090909156</v>
      </c>
      <c r="H41" s="67">
        <f t="shared" si="55"/>
        <v>2.6907862239582276E-5</v>
      </c>
      <c r="I41" s="65">
        <f>IFERROR(VLOOKUP("Fr-221",$A$4:$L$32,9)/$B41,0)</f>
        <v>2.2501818181818183E-15</v>
      </c>
      <c r="J41" s="66">
        <f>IFERROR(VLOOKUP("Fr-221",$A$4:$L$32,10)/$B41,0)</f>
        <v>4.9278981818181834E-11</v>
      </c>
      <c r="K41" s="67">
        <f>IFERROR(VLOOKUP("Fr-221",$A$4:$L$32,11)/$B41,0)</f>
        <v>2.2500790748450672E-15</v>
      </c>
    </row>
    <row r="42" spans="1:11">
      <c r="A42" s="31" t="s">
        <v>145</v>
      </c>
      <c r="B42" s="32">
        <v>1</v>
      </c>
      <c r="C42" s="65">
        <f>IFERROR(VLOOKUP("At-217",$A$4:$L$32,3)/$B42,0)</f>
        <v>7.2727272727272723E-4</v>
      </c>
      <c r="D42" s="66">
        <f>IFERROR(VLOOKUP("At-217",$A$4:$L$32,4)/$B42,0)</f>
        <v>15.927272727272729</v>
      </c>
      <c r="E42" s="67">
        <f t="shared" si="53"/>
        <v>7.272395199887095E-4</v>
      </c>
      <c r="F42" s="65">
        <f>IFERROR(VLOOKUP("At-217",$A$4:$L$32,6)/$B42,0)</f>
        <v>2.6909090909090934E-5</v>
      </c>
      <c r="G42" s="66">
        <f>IFERROR(VLOOKUP("At-217",$A$4:$L$32,7)/$B42,0)</f>
        <v>0.58930909090909156</v>
      </c>
      <c r="H42" s="67">
        <f t="shared" si="55"/>
        <v>2.6907862239582276E-5</v>
      </c>
      <c r="I42" s="65">
        <f>IFERROR(VLOOKUP("At-217",$A$4:$L$32,9)/$B42,0)</f>
        <v>2.2094545454545456E-15</v>
      </c>
      <c r="J42" s="66">
        <f>IFERROR(VLOOKUP("At-217",$A$4:$L$32,10)/$B42,0)</f>
        <v>4.8387054545454553E-11</v>
      </c>
      <c r="K42" s="67">
        <f>IFERROR(VLOOKUP("At-217",$A$4:$L$32,11)/$B42,0)</f>
        <v>2.2093536617256995E-15</v>
      </c>
    </row>
    <row r="43" spans="1:11">
      <c r="A43" s="31" t="s">
        <v>146</v>
      </c>
      <c r="B43" s="33">
        <v>0.99987999999999999</v>
      </c>
      <c r="C43" s="65">
        <f>IFERROR(VLOOKUP("Bi-213",$A$4:$L$32,3)/$B43,0)</f>
        <v>7.2736001047398412E-4</v>
      </c>
      <c r="D43" s="66">
        <f>IFERROR(VLOOKUP("Bi-213",$A$4:$L$32,4)/$B43,0)</f>
        <v>15.929184229380255</v>
      </c>
      <c r="E43" s="67">
        <f t="shared" si="53"/>
        <v>7.2732679920461409E-4</v>
      </c>
      <c r="F43" s="65">
        <f>IFERROR(VLOOKUP("Bi-213",$A$4:$L$32,6)/$B43,0)</f>
        <v>2.6912320387537439E-5</v>
      </c>
      <c r="G43" s="66">
        <f>IFERROR(VLOOKUP("Bi-213",$A$4:$L$32,7)/$B43,0)</f>
        <v>0.58937981648707005</v>
      </c>
      <c r="H43" s="67">
        <f t="shared" si="55"/>
        <v>2.6911091570570744E-5</v>
      </c>
      <c r="I43" s="65">
        <f>IFERROR(VLOOKUP("Bi-213",$A$4:$L$32,9)/$B43,0)</f>
        <v>2.1689875512334209E-15</v>
      </c>
      <c r="J43" s="66">
        <f>IFERROR(VLOOKUP("Bi-213",$A$4:$L$32,10)/$B43,0)</f>
        <v>4.7500827372011934E-11</v>
      </c>
      <c r="K43" s="67">
        <f>IFERROR(VLOOKUP("Bi-213",$A$4:$L$32,11)/$B43,0)</f>
        <v>2.168888515228159E-15</v>
      </c>
    </row>
    <row r="44" spans="1:11">
      <c r="A44" s="31" t="s">
        <v>147</v>
      </c>
      <c r="B44" s="32">
        <v>0.97898250799999997</v>
      </c>
      <c r="C44" s="65">
        <f>IFERROR(VLOOKUP("Po-213",$A$4:$L$32,3)/$B44,0)</f>
        <v>7.4288633487282619E-4</v>
      </c>
      <c r="D44" s="66">
        <f>IFERROR(VLOOKUP("Po-213",$A$4:$L$32,4)/$B44,0)</f>
        <v>16.269210733714896</v>
      </c>
      <c r="E44" s="67">
        <f t="shared" si="53"/>
        <v>7.428524146712431E-4</v>
      </c>
      <c r="F44" s="65">
        <f>IFERROR(VLOOKUP("Po-213",$A$4:$L$32,6)/$B44,0)</f>
        <v>2.7486794390294597E-5</v>
      </c>
      <c r="G44" s="66">
        <f>IFERROR(VLOOKUP("Po-213",$A$4:$L$32,7)/$B44,0)</f>
        <v>0.60196079714745176</v>
      </c>
      <c r="H44" s="67">
        <f t="shared" si="55"/>
        <v>2.7485539342836023E-5</v>
      </c>
      <c r="I44" s="65">
        <f>IFERROR(VLOOKUP("Po-213",$A$4:$L$32,9)/$B44,0)</f>
        <v>2.215287050590768E-15</v>
      </c>
      <c r="J44" s="66">
        <f>IFERROR(VLOOKUP("Po-213",$A$4:$L$32,10)/$B44,0)</f>
        <v>4.8514786407937838E-11</v>
      </c>
      <c r="K44" s="67">
        <f>IFERROR(VLOOKUP("Po-213",$A$4:$L$32,11)/$B44,0)</f>
        <v>2.2151859005496467E-15</v>
      </c>
    </row>
    <row r="45" spans="1:11">
      <c r="A45" s="31" t="s">
        <v>148</v>
      </c>
      <c r="B45" s="32">
        <v>2.0897492E-2</v>
      </c>
      <c r="C45" s="65">
        <f>IFERROR(VLOOKUP("Tl-209",$A$4:$L$32,3)/$B45,0)</f>
        <v>3.4801914376745652E-2</v>
      </c>
      <c r="D45" s="66">
        <f>IFERROR(VLOOKUP("Tl-209",$A$4:$L$32,4)/$B45,0)</f>
        <v>762.16192485072986</v>
      </c>
      <c r="E45" s="67">
        <f t="shared" si="53"/>
        <v>3.4800325320794932E-2</v>
      </c>
      <c r="F45" s="65">
        <f>IFERROR(VLOOKUP("Tl-209",$A$4:$L$32,6)/$B45,0)</f>
        <v>1.2876708319395902E-3</v>
      </c>
      <c r="G45" s="66">
        <f>IFERROR(VLOOKUP("Tl-209",$A$4:$L$32,7)/$B45,0)</f>
        <v>28.199991219477035</v>
      </c>
      <c r="H45" s="67">
        <f t="shared" si="55"/>
        <v>1.2876120368694136E-3</v>
      </c>
      <c r="I45" s="65">
        <f>IFERROR(VLOOKUP("Tl-209",$A$4:$L$32,9)/$B45,0)</f>
        <v>1.018304014663578E-13</v>
      </c>
      <c r="J45" s="66">
        <f>IFERROR(VLOOKUP("Tl-209",$A$4:$L$32,10)/$B45,0)</f>
        <v>2.2300857921132361E-9</v>
      </c>
      <c r="K45" s="67">
        <f>IFERROR(VLOOKUP("Tl-209",$A$4:$L$32,11)/$B45,0)</f>
        <v>1.0182575188864596E-13</v>
      </c>
    </row>
    <row r="46" spans="1:11">
      <c r="A46" s="31" t="s">
        <v>149</v>
      </c>
      <c r="B46" s="32">
        <v>0.99987999999999999</v>
      </c>
      <c r="C46" s="65">
        <f>IFERROR(VLOOKUP("Pb-209",$A$4:$L$32,3)/$B46,0)</f>
        <v>7.2736001047398412E-4</v>
      </c>
      <c r="D46" s="66">
        <f>IFERROR(VLOOKUP("Pb-209",$A$4:$L$32,4)/$B46,0)</f>
        <v>15.929184229380255</v>
      </c>
      <c r="E46" s="67">
        <f t="shared" si="53"/>
        <v>7.2732679920461409E-4</v>
      </c>
      <c r="F46" s="65">
        <f>IFERROR(VLOOKUP("Pb-209",$A$4:$L$32,6)/$B46,0)</f>
        <v>2.6912320387537439E-5</v>
      </c>
      <c r="G46" s="66">
        <f>IFERROR(VLOOKUP("Pb-209",$A$4:$L$32,7)/$B46,0)</f>
        <v>0.58937981648707005</v>
      </c>
      <c r="H46" s="67">
        <f t="shared" si="55"/>
        <v>2.6911091570570744E-5</v>
      </c>
      <c r="I46" s="65">
        <f>IFERROR(VLOOKUP("Pb-209",$A$4:$L$32,9)/$B46,0)</f>
        <v>2.1282553906468778E-15</v>
      </c>
      <c r="J46" s="66">
        <f>IFERROR(VLOOKUP("Pb-209",$A$4:$L$32,10)/$B46,0)</f>
        <v>4.6608793055166629E-11</v>
      </c>
      <c r="K46" s="67">
        <f>IFERROR(VLOOKUP("Pb-209",$A$4:$L$32,11)/$B46,0)</f>
        <v>2.1281582144727007E-15</v>
      </c>
    </row>
    <row r="47" spans="1:11">
      <c r="A47" s="30" t="s">
        <v>17</v>
      </c>
      <c r="B47" s="30" t="s">
        <v>50</v>
      </c>
      <c r="C47" s="71">
        <f>IFERROR(1/SUM(1/C48,1/C49),0)</f>
        <v>3.7411340967429219E-4</v>
      </c>
      <c r="D47" s="72">
        <f>IFERROR(1/SUM(1/D48,1/D49),0)</f>
        <v>8.193083671866999</v>
      </c>
      <c r="E47" s="73">
        <f>IFERROR(1/SUM(1/E48,1/E49),".")</f>
        <v>3.7409632765019856E-4</v>
      </c>
      <c r="F47" s="71">
        <f>IFERROR(1/SUM(1/F48,1/F49),0)</f>
        <v>1.3842196157948821E-5</v>
      </c>
      <c r="G47" s="72">
        <f>IFERROR(1/SUM(1/G48,1/G49),0)</f>
        <v>0.30314409585907925</v>
      </c>
      <c r="H47" s="73">
        <f>IFERROR(1/SUM(1/H48,1/H49),".")</f>
        <v>1.384156412305736E-5</v>
      </c>
      <c r="I47" s="68">
        <f>IFERROR(C47*Isospec!$C$11*Isospec!$F$11*s_SSLcm_m,".")</f>
        <v>7.1754951975529257E-16</v>
      </c>
      <c r="J47" s="69">
        <f>IFERROR(D47*Isospec!$C$11*Isospec!$F$11*s_SSLcm_m,".")</f>
        <v>1.5714334482640905E-11</v>
      </c>
      <c r="K47" s="70">
        <f>IFERROR(E47*Isospec!$C$11*Isospec!$F$11*s_SSLcm_m,".")</f>
        <v>7.1751675643308087E-16</v>
      </c>
    </row>
    <row r="48" spans="1:11">
      <c r="A48" s="31" t="s">
        <v>150</v>
      </c>
      <c r="B48" s="32">
        <v>1</v>
      </c>
      <c r="C48" s="65">
        <f>IFERROR(VLOOKUP("Cs-137",$A$4:$L$32,3)/$B48,0)</f>
        <v>7.2727272727272723E-4</v>
      </c>
      <c r="D48" s="66">
        <f>IFERROR(VLOOKUP("Cs-137",$A$4:$L$32,4)/$B48,0)</f>
        <v>15.927272727272729</v>
      </c>
      <c r="E48" s="67">
        <f>IFERROR(IF(AND(C48&lt;&gt;0,D48&lt;&gt;0),(1/((1/C48)+(1/D48))),IF(AND(C48&lt;&gt;0,D48=0),(1/(1/C48)),IF(AND(C48=0,D48&lt;&gt;0),(1/(1/D48)),0))),0)</f>
        <v>7.272395199887095E-4</v>
      </c>
      <c r="F48" s="65">
        <f>IFERROR(VLOOKUP("Cs-137",$A$4:$L$32,6)/$B48,0)</f>
        <v>2.6909090909090934E-5</v>
      </c>
      <c r="G48" s="66">
        <f>IFERROR(VLOOKUP("Cs-137",$A$4:$L$32,7)/$B48,0)</f>
        <v>0.58930909090909156</v>
      </c>
      <c r="H48" s="67">
        <f>IFERROR(IF(AND(F48&lt;&gt;0,G48&lt;&gt;0),(1/((1/F48)+(1/G48))),IF(AND(F48&lt;&gt;0,G48=0),(1/(1/F48)),IF(AND(F48=0,G48&lt;&gt;0),(1/(1/G48)),0))),0)</f>
        <v>2.6907862239582276E-5</v>
      </c>
      <c r="I48" s="65">
        <f>IFERROR(VLOOKUP("Cs-137",$A$4:$L$32,9)/$B48,0)</f>
        <v>1.394909090909091E-15</v>
      </c>
      <c r="J48" s="66">
        <f>IFERROR(VLOOKUP("Cs-137",$A$4:$L$32,10)/$B48,0)</f>
        <v>3.05485090909091E-11</v>
      </c>
      <c r="K48" s="67">
        <f>IFERROR(VLOOKUP("Cs-137",$A$4:$L$32,11)/$B48,0)</f>
        <v>1.3948453993383449E-15</v>
      </c>
    </row>
    <row r="49" spans="1:11">
      <c r="A49" s="31" t="s">
        <v>151</v>
      </c>
      <c r="B49" s="32">
        <v>0.94399</v>
      </c>
      <c r="C49" s="65">
        <f>IFERROR(VLOOKUP("Ba-137m",$A$4:$L$32,3)/$B49,0)</f>
        <v>7.704241859264688E-4</v>
      </c>
      <c r="D49" s="66">
        <f>IFERROR(VLOOKUP("Ba-137m",$A$4:$L$32,4)/$B49,0)</f>
        <v>16.87228967178967</v>
      </c>
      <c r="E49" s="67">
        <f>IFERROR(IF(AND(C49&lt;&gt;0,D49&lt;&gt;0),(1/((1/C49)+(1/D49))),IF(AND(C49&lt;&gt;0,D49=0),(1/(1/C49)),IF(AND(C49=0,D49&lt;&gt;0),(1/(1/D49)),0))),0)</f>
        <v>7.7038900834617901E-4</v>
      </c>
      <c r="F49" s="65">
        <f>IFERROR(VLOOKUP("Ba-137m",$A$4:$L$32,6)/$B49,0)</f>
        <v>2.850569487927937E-5</v>
      </c>
      <c r="G49" s="66">
        <f>IFERROR(VLOOKUP("Ba-137m",$A$4:$L$32,7)/$B49,0)</f>
        <v>0.62427471785621835</v>
      </c>
      <c r="H49" s="67">
        <f>IFERROR(IF(AND(F49&lt;&gt;0,G49&lt;&gt;0),(1/((1/F49)+(1/G49))),IF(AND(F49&lt;&gt;0,G49=0),(1/(1/F49)),IF(AND(F49=0,G49&lt;&gt;0),(1/(1/G49)),0))),0)</f>
        <v>2.8504393308808648E-5</v>
      </c>
      <c r="I49" s="65">
        <f>IFERROR(VLOOKUP("Ba-137m",$A$4:$L$32,9)/$B49,0)</f>
        <v>1.4776735886069672E-15</v>
      </c>
      <c r="J49" s="66">
        <f>IFERROR(VLOOKUP("Ba-137m",$A$4:$L$32,10)/$B49,0)</f>
        <v>3.2361051590492591E-11</v>
      </c>
      <c r="K49" s="67">
        <f>IFERROR(VLOOKUP("Ba-137m",$A$4:$L$32,11)/$B49,0)</f>
        <v>1.4776061180079715E-15</v>
      </c>
    </row>
    <row r="50" spans="1:11">
      <c r="A50" s="30" t="s">
        <v>27</v>
      </c>
      <c r="B50" s="30" t="s">
        <v>50</v>
      </c>
      <c r="C50" s="71">
        <f t="shared" ref="C50:H50" si="56">IFERROR(1/SUM(1/C51,1/C52,1/C53,1/C56,1/C54,1/C57,1/C55,1/C58,1/C59,1/C60,1/C61,1/C63,1/C62,1/C64),0)</f>
        <v>8.0808068615041115E-5</v>
      </c>
      <c r="D50" s="72">
        <f t="shared" si="56"/>
        <v>1.7696967026694006</v>
      </c>
      <c r="E50" s="73">
        <f t="shared" si="56"/>
        <v>8.0804378917373668E-5</v>
      </c>
      <c r="F50" s="71">
        <f t="shared" si="56"/>
        <v>2.989898538756524E-6</v>
      </c>
      <c r="G50" s="72">
        <f t="shared" si="56"/>
        <v>6.547877799876789E-2</v>
      </c>
      <c r="H50" s="73">
        <f t="shared" si="56"/>
        <v>2.9897620199428283E-6</v>
      </c>
      <c r="I50" s="68">
        <f>IFERROR(C50*Isospec!$C$24*Isospec!$F$24*s_SSLcm_m,".")</f>
        <v>2.5567672909799006E-16</v>
      </c>
      <c r="J50" s="69">
        <f>IFERROR(D50*Isospec!$C$24*Isospec!$F$24*s_SSLcm_m,".")</f>
        <v>5.5993203672459837E-12</v>
      </c>
      <c r="K50" s="70">
        <f>IFERROR(E50*Isospec!$C$24*Isospec!$F$24*s_SSLcm_m,".")</f>
        <v>2.5566505489457029E-16</v>
      </c>
    </row>
    <row r="51" spans="1:11">
      <c r="A51" s="31" t="s">
        <v>152</v>
      </c>
      <c r="B51" s="32">
        <v>1</v>
      </c>
      <c r="C51" s="65">
        <f>IFERROR(VLOOKUP("Ra-226",$A$4:$L$32,3)/$B51,0)</f>
        <v>7.2727272727272723E-4</v>
      </c>
      <c r="D51" s="66">
        <f>IFERROR(VLOOKUP("Ra-226",$A$4:$L$32,4)/$B51,0)</f>
        <v>15.927272727272729</v>
      </c>
      <c r="E51" s="67">
        <f t="shared" ref="E51:E64" si="57">IFERROR(IF(AND(C51&lt;&gt;0,D51&lt;&gt;0),(1/((1/C51)+(1/D51))),IF(AND(C51&lt;&gt;0,D51=0),(1/(1/C51)),IF(AND(C51=0,D51&lt;&gt;0),(1/(1/D51)),0))),0)</f>
        <v>7.272395199887095E-4</v>
      </c>
      <c r="F51" s="65">
        <f>IFERROR(VLOOKUP("Ra-226",$A$4:$L$32,6)/$B51,0)</f>
        <v>2.6909090909090934E-5</v>
      </c>
      <c r="G51" s="66">
        <f>IFERROR(VLOOKUP("Ra-226",$A$4:$L$32,7)/$B51,0)</f>
        <v>0.58930909090909156</v>
      </c>
      <c r="H51" s="67">
        <f t="shared" ref="H51:H64" si="58">IFERROR(IF(AND(F51&lt;&gt;0,G51&lt;&gt;0),(1/((1/F51)+(1/G51))),IF(AND(F51&lt;&gt;0,G51=0),(1/(1/F51)),IF(AND(F51=0,G51&lt;&gt;0),(1/(1/G51)),0))),0)</f>
        <v>2.6907862239582276E-5</v>
      </c>
      <c r="I51" s="65">
        <f>IFERROR(VLOOKUP("Ra-226",$A$4:$L$32,9)/$B51,0)</f>
        <v>2.3010909090909091E-15</v>
      </c>
      <c r="J51" s="66">
        <f>IFERROR(VLOOKUP("Ra-226",$A$4:$L$32,10)/$B51,0)</f>
        <v>5.0393890909090929E-11</v>
      </c>
      <c r="K51" s="67">
        <f>IFERROR(VLOOKUP("Ra-226",$A$4:$L$32,11)/$B51,0)</f>
        <v>2.3009858412442769E-15</v>
      </c>
    </row>
    <row r="52" spans="1:11">
      <c r="A52" s="31" t="s">
        <v>153</v>
      </c>
      <c r="B52" s="32">
        <v>1</v>
      </c>
      <c r="C52" s="65">
        <f>IFERROR(VLOOKUP("Rn-222",$A$4:$L$32,3)/$B52,0)</f>
        <v>7.2727272727272723E-4</v>
      </c>
      <c r="D52" s="66">
        <f>IFERROR(VLOOKUP("Rn-222",$A$4:$L$32,4)/$B52,0)</f>
        <v>15.927272727272729</v>
      </c>
      <c r="E52" s="67">
        <f t="shared" si="57"/>
        <v>7.272395199887095E-4</v>
      </c>
      <c r="F52" s="65">
        <f>IFERROR(VLOOKUP("Rn-222",$A$4:$L$32,6)/$B52,0)</f>
        <v>2.6909090909090934E-5</v>
      </c>
      <c r="G52" s="66">
        <f>IFERROR(VLOOKUP("Rn-222",$A$4:$L$32,7)/$B52,0)</f>
        <v>0.58930909090909156</v>
      </c>
      <c r="H52" s="67">
        <f t="shared" si="58"/>
        <v>2.6907862239582276E-5</v>
      </c>
      <c r="I52" s="65">
        <f>IFERROR(VLOOKUP("Rn-222",$A$4:$L$32,9)/$B52,0)</f>
        <v>2.2603636363636364E-15</v>
      </c>
      <c r="J52" s="66">
        <f>IFERROR(VLOOKUP("Rn-222",$A$4:$L$32,10)/$B52,0)</f>
        <v>4.9501963636363648E-11</v>
      </c>
      <c r="K52" s="67">
        <f>IFERROR(VLOOKUP("Rn-222",$A$4:$L$32,11)/$B52,0)</f>
        <v>2.2602604281249093E-15</v>
      </c>
    </row>
    <row r="53" spans="1:11">
      <c r="A53" s="31" t="s">
        <v>154</v>
      </c>
      <c r="B53" s="32">
        <v>1</v>
      </c>
      <c r="C53" s="65">
        <f>IFERROR(VLOOKUP("Po-218",$A$4:$L$32,3)/$B53,0)</f>
        <v>7.2727272727272723E-4</v>
      </c>
      <c r="D53" s="66">
        <f>IFERROR(VLOOKUP("Po-218",$A$4:$L$32,4)/$B53,0)</f>
        <v>15.927272727272729</v>
      </c>
      <c r="E53" s="67">
        <f t="shared" si="57"/>
        <v>7.272395199887095E-4</v>
      </c>
      <c r="F53" s="65">
        <f>IFERROR(VLOOKUP("Po-218",$A$4:$L$32,6)/$B53,0)</f>
        <v>2.6909090909090934E-5</v>
      </c>
      <c r="G53" s="66">
        <f>IFERROR(VLOOKUP("Po-218",$A$4:$L$32,7)/$B53,0)</f>
        <v>0.58930909090909156</v>
      </c>
      <c r="H53" s="67">
        <f t="shared" si="58"/>
        <v>2.6907862239582276E-5</v>
      </c>
      <c r="I53" s="65">
        <f>IFERROR(VLOOKUP("Po-218",$A$4:$L$32,9)/$B53,0)</f>
        <v>2.2196363636363638E-15</v>
      </c>
      <c r="J53" s="66">
        <f>IFERROR(VLOOKUP("Po-218",$A$4:$L$32,10)/$B53,0)</f>
        <v>4.8610036363636374E-11</v>
      </c>
      <c r="K53" s="67">
        <f>IFERROR(VLOOKUP("Po-218",$A$4:$L$32,11)/$B53,0)</f>
        <v>2.2195350150055416E-15</v>
      </c>
    </row>
    <row r="54" spans="1:11">
      <c r="A54" s="31" t="s">
        <v>156</v>
      </c>
      <c r="B54" s="32">
        <v>2.0000000000000001E-4</v>
      </c>
      <c r="C54" s="65">
        <f>IFERROR(VLOOKUP("At-218",$A$4:$L$32,3)/$B54,0)</f>
        <v>3.6363636363636358</v>
      </c>
      <c r="D54" s="66">
        <f>IFERROR(VLOOKUP("At-218",$A$4:$L$32,4)/$B54,0)</f>
        <v>79636.363636363647</v>
      </c>
      <c r="E54" s="67">
        <f>IFERROR(IF(AND(C54&lt;&gt;0,D54&lt;&gt;0),(1/((1/C54)+(1/D54))),IF(AND(C54&lt;&gt;0,D54=0),(1/(1/C54)),IF(AND(C54=0,D54&lt;&gt;0),(1/(1/D54)),0))),0)</f>
        <v>3.636197599943547</v>
      </c>
      <c r="F54" s="65">
        <f>IFERROR(VLOOKUP("At-218",$A$4:$L$32,6)/$B54,0)</f>
        <v>0.13454545454545466</v>
      </c>
      <c r="G54" s="66">
        <f>IFERROR(VLOOKUP("At-218",$A$4:$L$32,7)/$B54,0)</f>
        <v>2946.5454545454577</v>
      </c>
      <c r="H54" s="67">
        <f>IFERROR(IF(AND(F54&lt;&gt;0,G54&lt;&gt;0),(1/((1/F54)+(1/G54))),IF(AND(F54&lt;&gt;0,G54=0),(1/(1/F54)),IF(AND(F54=0,G54&lt;&gt;0),(1/(1/G54)),0))),0)</f>
        <v>0.13453931119791138</v>
      </c>
      <c r="I54" s="65">
        <f>IFERROR(VLOOKUP("At-218",$A$4:$L$32,9)/$B54,0)</f>
        <v>1.1098181818181819E-11</v>
      </c>
      <c r="J54" s="66">
        <f>IFERROR(VLOOKUP("At-218",$A$4:$L$32,10)/$B54,0)</f>
        <v>2.4305018181818186E-7</v>
      </c>
      <c r="K54" s="67">
        <f>IFERROR(VLOOKUP("At-218",$A$4:$L$32,11)/$B54,0)</f>
        <v>1.1097675075027708E-11</v>
      </c>
    </row>
    <row r="55" spans="1:11">
      <c r="A55" s="31" t="s">
        <v>158</v>
      </c>
      <c r="B55" s="32">
        <v>1.9999999999999999E-7</v>
      </c>
      <c r="C55" s="65">
        <f>IFERROR(VLOOKUP("Rn-218",$A$4:$L$32,3)/$B55,0)</f>
        <v>3636.3636363636365</v>
      </c>
      <c r="D55" s="66">
        <f>IFERROR(VLOOKUP("Rn-218",$A$4:$L$32,4)/$B55,0)</f>
        <v>79636363.636363655</v>
      </c>
      <c r="E55" s="67">
        <f>IFERROR(IF(AND(C55&lt;&gt;0,D55&lt;&gt;0),(1/((1/C55)+(1/D55))),IF(AND(C55&lt;&gt;0,D55=0),(1/(1/C55)),IF(AND(C55=0,D55&lt;&gt;0),(1/(1/D55)),0))),0)</f>
        <v>3636.1975999435472</v>
      </c>
      <c r="F55" s="65">
        <f>IFERROR(VLOOKUP("Rn-218",$A$4:$L$32,6)/$B55,0)</f>
        <v>134.54545454545467</v>
      </c>
      <c r="G55" s="66">
        <f>IFERROR(VLOOKUP("Rn-218",$A$4:$L$32,7)/$B55,0)</f>
        <v>2946545.4545454578</v>
      </c>
      <c r="H55" s="67">
        <f>IFERROR(IF(AND(F55&lt;&gt;0,G55&lt;&gt;0),(1/((1/F55)+(1/G55))),IF(AND(F55&lt;&gt;0,G55=0),(1/(1/F55)),IF(AND(F55=0,G55&lt;&gt;0),(1/(1/G55)),0))),0)</f>
        <v>134.53931119791139</v>
      </c>
      <c r="I55" s="65">
        <f>IFERROR(VLOOKUP("Rn-218",$A$4:$L$32,9)/$B55,0)</f>
        <v>1.109818181818182E-8</v>
      </c>
      <c r="J55" s="66">
        <f>IFERROR(VLOOKUP("Rn-218",$A$4:$L$32,10)/$B55,0)</f>
        <v>2.4305018181818187E-4</v>
      </c>
      <c r="K55" s="67">
        <f>IFERROR(VLOOKUP("Rn-218",$A$4:$L$32,11)/$B55,0)</f>
        <v>1.1097675075027709E-8</v>
      </c>
    </row>
    <row r="56" spans="1:11">
      <c r="A56" s="31" t="s">
        <v>155</v>
      </c>
      <c r="B56" s="32">
        <v>0.99980000000000002</v>
      </c>
      <c r="C56" s="65">
        <f>IFERROR(VLOOKUP("Pb-214",$A$4:$L$32,3)/$B56,0)</f>
        <v>7.2741821091491018E-4</v>
      </c>
      <c r="D56" s="66">
        <f>IFERROR(VLOOKUP("Pb-214",$A$4:$L$32,4)/$B56,0)</f>
        <v>15.930458819036536</v>
      </c>
      <c r="E56" s="67">
        <f t="shared" si="57"/>
        <v>7.2738499698810706E-4</v>
      </c>
      <c r="F56" s="65">
        <f>IFERROR(VLOOKUP("Pb-214",$A$4:$L$32,6)/$B56,0)</f>
        <v>2.6914473803851703E-5</v>
      </c>
      <c r="G56" s="66">
        <f>IFERROR(VLOOKUP("Pb-214",$A$4:$L$32,7)/$B56,0)</f>
        <v>0.58942697630435237</v>
      </c>
      <c r="H56" s="67">
        <f t="shared" si="58"/>
        <v>2.6913244888559986E-5</v>
      </c>
      <c r="I56" s="65">
        <f>IFERROR(VLOOKUP("Pb-214",$A$4:$L$32,9)/$B56,0)</f>
        <v>2.1793449599010712E-15</v>
      </c>
      <c r="J56" s="66">
        <f>IFERROR(VLOOKUP("Pb-214",$A$4:$L$32,10)/$B56,0)</f>
        <v>4.7727654621833474E-11</v>
      </c>
      <c r="K56" s="67">
        <f>IFERROR(VLOOKUP("Pb-214",$A$4:$L$32,11)/$B56,0)</f>
        <v>2.1792454509763689E-15</v>
      </c>
    </row>
    <row r="57" spans="1:11">
      <c r="A57" s="31" t="s">
        <v>157</v>
      </c>
      <c r="B57" s="32">
        <v>0.99999979999999999</v>
      </c>
      <c r="C57" s="65">
        <f>IFERROR(VLOOKUP("Bi-214",$A$4:$L$32,3)/$B57,0)</f>
        <v>7.2727287272730183E-4</v>
      </c>
      <c r="D57" s="66">
        <f>IFERROR(VLOOKUP("Bi-214",$A$4:$L$32,4)/$B57,0)</f>
        <v>15.927275912727913</v>
      </c>
      <c r="E57" s="67">
        <f t="shared" si="57"/>
        <v>7.2723966543664271E-4</v>
      </c>
      <c r="F57" s="65">
        <f>IFERROR(VLOOKUP("Bi-214",$A$4:$L$32,6)/$B57,0)</f>
        <v>2.6909096290910191E-5</v>
      </c>
      <c r="G57" s="66">
        <f>IFERROR(VLOOKUP("Bi-214",$A$4:$L$32,7)/$B57,0)</f>
        <v>0.58930920877093329</v>
      </c>
      <c r="H57" s="67">
        <f t="shared" si="58"/>
        <v>2.6907867621155806E-5</v>
      </c>
      <c r="I57" s="65">
        <f>IFERROR(VLOOKUP("Bi-214",$A$4:$L$32,9)/$B57,0)</f>
        <v>2.1789095266909965E-15</v>
      </c>
      <c r="J57" s="66">
        <f>IFERROR(VLOOKUP("Bi-214",$A$4:$L$32,10)/$B57,0)</f>
        <v>4.771811863453283E-11</v>
      </c>
      <c r="K57" s="67">
        <f>IFERROR(VLOOKUP("Bi-214",$A$4:$L$32,11)/$B57,0)</f>
        <v>2.1788100376481812E-15</v>
      </c>
    </row>
    <row r="58" spans="1:11">
      <c r="A58" s="31" t="s">
        <v>159</v>
      </c>
      <c r="B58" s="32">
        <v>0.99979000004200003</v>
      </c>
      <c r="C58" s="65">
        <f>IFERROR(VLOOKUP("Po-214",$A$4:$L$32,3)/$B58,0)</f>
        <v>7.2742548659436015E-4</v>
      </c>
      <c r="D58" s="66">
        <f>IFERROR(VLOOKUP("Po-214",$A$4:$L$32,4)/$B58,0)</f>
        <v>15.930618156416491</v>
      </c>
      <c r="E58" s="67">
        <f t="shared" si="57"/>
        <v>7.2739227233534947E-4</v>
      </c>
      <c r="F58" s="65">
        <f>IFERROR(VLOOKUP("Po-214",$A$4:$L$32,6)/$B58,0)</f>
        <v>2.6914743003991351E-5</v>
      </c>
      <c r="G58" s="66">
        <f>IFERROR(VLOOKUP("Po-214",$A$4:$L$32,7)/$B58,0)</f>
        <v>0.58943287178741077</v>
      </c>
      <c r="H58" s="67">
        <f t="shared" si="58"/>
        <v>2.6913514076407953E-5</v>
      </c>
      <c r="I58" s="65">
        <f>IFERROR(VLOOKUP("Po-214",$A$4:$L$32,9)/$B58,0)</f>
        <v>2.1793667578367035E-15</v>
      </c>
      <c r="J58" s="66">
        <f>IFERROR(VLOOKUP("Po-214",$A$4:$L$32,10)/$B58,0)</f>
        <v>4.7728131996623811E-11</v>
      </c>
      <c r="K58" s="67">
        <f>IFERROR(VLOOKUP("Po-214",$A$4:$L$32,11)/$B58,0)</f>
        <v>2.1792672479167068E-15</v>
      </c>
    </row>
    <row r="59" spans="1:11">
      <c r="A59" s="31" t="s">
        <v>160</v>
      </c>
      <c r="B59" s="32">
        <v>2.0999995799999999E-4</v>
      </c>
      <c r="C59" s="65">
        <f>IFERROR(VLOOKUP("Tl-210",$A$4:$L$32,3)/$B59,0)</f>
        <v>3.4632041558442945</v>
      </c>
      <c r="D59" s="66">
        <f>IFERROR(VLOOKUP("Tl-210",$A$4:$L$32,4)/$B59,0)</f>
        <v>75844.17101299006</v>
      </c>
      <c r="E59" s="67">
        <f t="shared" si="57"/>
        <v>3.4630460258887741</v>
      </c>
      <c r="F59" s="65">
        <f>IFERROR(VLOOKUP("Tl-210",$A$4:$L$32,6)/$B59,0)</f>
        <v>0.12813855376623901</v>
      </c>
      <c r="G59" s="66">
        <f>IFERROR(VLOOKUP("Tl-210",$A$4:$L$32,7)/$B59,0)</f>
        <v>2806.2343274806349</v>
      </c>
      <c r="H59" s="67">
        <f t="shared" si="58"/>
        <v>0.12813270295788476</v>
      </c>
      <c r="I59" s="65">
        <f>IFERROR(VLOOKUP("Tl-210",$A$4:$L$32,9)/$B59,0)</f>
        <v>1.0181820218182228E-11</v>
      </c>
      <c r="J59" s="66">
        <f>IFERROR(VLOOKUP("Tl-210",$A$4:$L$32,10)/$B59,0)</f>
        <v>2.2298186277819083E-7</v>
      </c>
      <c r="K59" s="67">
        <f>IFERROR(VLOOKUP("Tl-210",$A$4:$L$32,11)/$B59,0)</f>
        <v>1.0181355316112996E-11</v>
      </c>
    </row>
    <row r="60" spans="1:11">
      <c r="A60" s="31" t="s">
        <v>161</v>
      </c>
      <c r="B60" s="32">
        <v>1</v>
      </c>
      <c r="C60" s="65">
        <f>IFERROR(VLOOKUP("Pb-210",$A$4:$L$32,3)/$B60,0)</f>
        <v>7.2727272727272723E-4</v>
      </c>
      <c r="D60" s="66">
        <f>IFERROR(VLOOKUP("Pb-210",$A$4:$L$32,4)/$B60,0)</f>
        <v>15.927272727272729</v>
      </c>
      <c r="E60" s="67">
        <f t="shared" si="57"/>
        <v>7.272395199887095E-4</v>
      </c>
      <c r="F60" s="65">
        <f>IFERROR(VLOOKUP("Pb-210",$A$4:$L$32,6)/$B60,0)</f>
        <v>2.6909090909090934E-5</v>
      </c>
      <c r="G60" s="66">
        <f>IFERROR(VLOOKUP("Pb-210",$A$4:$L$32,7)/$B60,0)</f>
        <v>0.58930909090909156</v>
      </c>
      <c r="H60" s="67">
        <f t="shared" si="58"/>
        <v>2.6907862239582276E-5</v>
      </c>
      <c r="I60" s="65">
        <f>IFERROR(VLOOKUP("Pb-210",$A$4:$L$32,9)/$B60,0)</f>
        <v>2.1381818181818184E-15</v>
      </c>
      <c r="J60" s="66">
        <f>IFERROR(VLOOKUP("Pb-210",$A$4:$L$32,10)/$B60,0)</f>
        <v>4.6826181818181831E-11</v>
      </c>
      <c r="K60" s="67">
        <f>IFERROR(VLOOKUP("Pb-210",$A$4:$L$32,11)/$B60,0)</f>
        <v>2.138084188766806E-15</v>
      </c>
    </row>
    <row r="61" spans="1:11">
      <c r="A61" s="31" t="s">
        <v>162</v>
      </c>
      <c r="B61" s="32">
        <v>1</v>
      </c>
      <c r="C61" s="65">
        <f>IFERROR(VLOOKUP("Bi-210",$A$4:$L$32,3)/$B61,0)</f>
        <v>7.2727272727272723E-4</v>
      </c>
      <c r="D61" s="66">
        <f>IFERROR(VLOOKUP("Bi-210",$A$4:$L$32,4)/$B61,0)</f>
        <v>15.927272727272729</v>
      </c>
      <c r="E61" s="67">
        <f t="shared" si="57"/>
        <v>7.272395199887095E-4</v>
      </c>
      <c r="F61" s="65">
        <f>IFERROR(VLOOKUP("Bi-210",$A$4:$L$32,6)/$B61,0)</f>
        <v>2.6909090909090934E-5</v>
      </c>
      <c r="G61" s="66">
        <f>IFERROR(VLOOKUP("Bi-210",$A$4:$L$32,7)/$B61,0)</f>
        <v>0.58930909090909156</v>
      </c>
      <c r="H61" s="67">
        <f t="shared" si="58"/>
        <v>2.6907862239582276E-5</v>
      </c>
      <c r="I61" s="65">
        <f>IFERROR(VLOOKUP("Bi-210",$A$4:$L$32,9)/$B61,0)</f>
        <v>2.1381818181818184E-15</v>
      </c>
      <c r="J61" s="66">
        <f>IFERROR(VLOOKUP("Bi-210",$A$4:$L$32,10)/$B61,0)</f>
        <v>4.6826181818181831E-11</v>
      </c>
      <c r="K61" s="67">
        <f>IFERROR(VLOOKUP("Bi-210",$A$4:$L$32,11)/$B61,0)</f>
        <v>2.138084188766806E-15</v>
      </c>
    </row>
    <row r="62" spans="1:11">
      <c r="A62" s="31" t="s">
        <v>164</v>
      </c>
      <c r="B62" s="32">
        <v>1</v>
      </c>
      <c r="C62" s="65">
        <f>IFERROR(VLOOKUP("Po-210",$A$4:$L$32,3)/$B62,0)</f>
        <v>7.2727272727272723E-4</v>
      </c>
      <c r="D62" s="66">
        <f>IFERROR(VLOOKUP("Po-210",$A$4:$L$32,4)/$B62,0)</f>
        <v>15.927272727272729</v>
      </c>
      <c r="E62" s="67">
        <f>IFERROR(IF(AND(C62&lt;&gt;0,D62&lt;&gt;0),(1/((1/C62)+(1/D62))),IF(AND(C62&lt;&gt;0,D62=0),(1/(1/C62)),IF(AND(C62=0,D62&lt;&gt;0),(1/(1/D62)),0))),0)</f>
        <v>7.272395199887095E-4</v>
      </c>
      <c r="F62" s="65">
        <f>IFERROR(VLOOKUP("Po-210",$A$4:$L$32,6)/$B62,0)</f>
        <v>2.6909090909090934E-5</v>
      </c>
      <c r="G62" s="66">
        <f>IFERROR(VLOOKUP("Po-210",$A$4:$L$32,7)/$B62,0)</f>
        <v>0.58930909090909156</v>
      </c>
      <c r="H62" s="67">
        <f>IFERROR(IF(AND(F62&lt;&gt;0,G62&lt;&gt;0),(1/((1/F62)+(1/G62))),IF(AND(F62&lt;&gt;0,G62=0),(1/(1/F62)),IF(AND(F62=0,G62&lt;&gt;0),(1/(1/G62)),0))),0)</f>
        <v>2.6907862239582276E-5</v>
      </c>
      <c r="I62" s="65">
        <f>IFERROR(VLOOKUP("Po-210",$A$4:$L$32,9)/$B62,0)</f>
        <v>2.1381818181818184E-15</v>
      </c>
      <c r="J62" s="66">
        <f>IFERROR(VLOOKUP("Po-210",$A$4:$L$32,10)/$B62,0)</f>
        <v>4.6826181818181831E-11</v>
      </c>
      <c r="K62" s="67">
        <f>IFERROR(VLOOKUP("Po-210",$A$4:$L$32,11)/$B62,0)</f>
        <v>2.138084188766806E-15</v>
      </c>
    </row>
    <row r="63" spans="1:11">
      <c r="A63" s="31" t="s">
        <v>163</v>
      </c>
      <c r="B63" s="34">
        <v>1.9000000000000001E-8</v>
      </c>
      <c r="C63" s="65">
        <f>IFERROR(VLOOKUP("Hg-206",$A$4:$L$32,3)/$B63,0)</f>
        <v>38277.511961722485</v>
      </c>
      <c r="D63" s="66">
        <f>IFERROR(VLOOKUP("Hg-206",$A$4:$L$32,4)/$B63,0)</f>
        <v>838277511.96172249</v>
      </c>
      <c r="E63" s="67">
        <f t="shared" si="57"/>
        <v>38275.76420993208</v>
      </c>
      <c r="F63" s="65">
        <f>IFERROR(VLOOKUP("Hg-206",$A$4:$L$32,6)/$B63,0)</f>
        <v>1416.2679425837332</v>
      </c>
      <c r="G63" s="66">
        <f>IFERROR(VLOOKUP("Hg-206",$A$4:$L$32,7)/$B63,0)</f>
        <v>31016267.942583766</v>
      </c>
      <c r="H63" s="67">
        <f t="shared" si="58"/>
        <v>1416.2032757674879</v>
      </c>
      <c r="I63" s="65">
        <f>IFERROR(VLOOKUP("Hg-206",$A$4:$L$32,9)/$B63,0)</f>
        <v>1.1039234449760767E-7</v>
      </c>
      <c r="J63" s="66">
        <f>IFERROR(VLOOKUP("Hg-206",$A$4:$L$32,10)/$B63,0)</f>
        <v>2.417592344497608E-3</v>
      </c>
      <c r="K63" s="67">
        <f>IFERROR(VLOOKUP("Hg-206",$A$4:$L$32,11)/$B63,0)</f>
        <v>1.1038730398144411E-7</v>
      </c>
    </row>
    <row r="64" spans="1:11">
      <c r="A64" s="31" t="s">
        <v>165</v>
      </c>
      <c r="B64" s="32">
        <v>1.339E-6</v>
      </c>
      <c r="C64" s="65">
        <f>IFERROR(VLOOKUP("Tl-206",$A$4:$L$32,3)/$B64,0)</f>
        <v>543.14617421413539</v>
      </c>
      <c r="D64" s="66">
        <f>IFERROR(VLOOKUP("Tl-206",$A$4:$L$32,4)/$B64,0)</f>
        <v>11894901.215289567</v>
      </c>
      <c r="E64" s="67">
        <f t="shared" si="57"/>
        <v>543.12137415138875</v>
      </c>
      <c r="F64" s="65">
        <f>IFERROR(VLOOKUP("Tl-206",$A$4:$L$32,6)/$B64,0)</f>
        <v>20.096408445923029</v>
      </c>
      <c r="G64" s="66">
        <f>IFERROR(VLOOKUP("Tl-206",$A$4:$L$32,7)/$B64,0)</f>
        <v>440111.34496571438</v>
      </c>
      <c r="H64" s="67">
        <f t="shared" si="58"/>
        <v>20.095490843601404</v>
      </c>
      <c r="I64" s="65">
        <f>IFERROR(VLOOKUP("Tl-206",$A$4:$L$32,9)/$B64,0)</f>
        <v>1.5664335664335667E-9</v>
      </c>
      <c r="J64" s="66">
        <f>IFERROR(VLOOKUP("Tl-206",$A$4:$L$32,10)/$B64,0)</f>
        <v>3.4304895104895114E-5</v>
      </c>
      <c r="K64" s="67">
        <f>IFERROR(VLOOKUP("Tl-206",$A$4:$L$32,11)/$B64,0)</f>
        <v>1.5663620430526051E-9</v>
      </c>
    </row>
    <row r="65" spans="1:11">
      <c r="A65" s="30" t="s">
        <v>31</v>
      </c>
      <c r="B65" s="30" t="s">
        <v>50</v>
      </c>
      <c r="C65" s="71">
        <f t="shared" ref="C65:H65" si="59">IFERROR(1/SUM(1/C66,1/C67,1/C68,1/C69,1/C70,1/C71,1/C72,1/C73,1/C74,1/C75,1/C76,1/C77),0)</f>
        <v>9.0909090693181812E-5</v>
      </c>
      <c r="D65" s="72">
        <f t="shared" si="59"/>
        <v>1.9909090861806817</v>
      </c>
      <c r="E65" s="72">
        <f t="shared" si="59"/>
        <v>9.0904939782689463E-5</v>
      </c>
      <c r="F65" s="71">
        <f t="shared" si="59"/>
        <v>3.36363635564773E-6</v>
      </c>
      <c r="G65" s="72">
        <f t="shared" si="59"/>
        <v>7.3663636188685308E-2</v>
      </c>
      <c r="H65" s="72">
        <f t="shared" si="59"/>
        <v>3.3634827719595129E-6</v>
      </c>
      <c r="I65" s="68">
        <f>IFERROR(C65*Isospec!$C$26*Isospec!$F$26*s_SSLcm_m,".")</f>
        <v>2.8254545387440909E-16</v>
      </c>
      <c r="J65" s="69">
        <f>IFERROR(D65*Isospec!$C$26*Isospec!$F$26*s_SSLcm_m,".")</f>
        <v>6.1877454398495592E-12</v>
      </c>
      <c r="K65" s="70">
        <f>IFERROR(E65*Isospec!$C$26*Isospec!$F$26*s_SSLcm_m,".")</f>
        <v>2.8253255284459886E-16</v>
      </c>
    </row>
    <row r="66" spans="1:11">
      <c r="A66" s="31" t="s">
        <v>153</v>
      </c>
      <c r="B66" s="32">
        <v>1</v>
      </c>
      <c r="C66" s="65">
        <f>IFERROR(VLOOKUP("Rn-222",$A$4:$L$32,3)/$B66,0)</f>
        <v>7.2727272727272723E-4</v>
      </c>
      <c r="D66" s="66">
        <f>IFERROR(VLOOKUP("Rn-222",$A$4:$L$32,4)/$B66,0)</f>
        <v>15.927272727272729</v>
      </c>
      <c r="E66" s="67">
        <f t="shared" ref="E66:E67" si="60">IFERROR(IF(AND(C66&lt;&gt;0,D66&lt;&gt;0),(1/((1/C66)+(1/D66))),IF(AND(C66&lt;&gt;0,D66=0),(1/(1/C66)),IF(AND(C66=0,D66&lt;&gt;0),(1/(1/D66)),0))),0)</f>
        <v>7.272395199887095E-4</v>
      </c>
      <c r="F66" s="65">
        <f>IFERROR(VLOOKUP("Rn-222",$A$4:$L$32,6)/$B66,0)</f>
        <v>2.6909090909090934E-5</v>
      </c>
      <c r="G66" s="66">
        <f>IFERROR(VLOOKUP("Rn-222",$A$4:$L$32,7)/$B66,0)</f>
        <v>0.58930909090909156</v>
      </c>
      <c r="H66" s="67">
        <f t="shared" ref="H66:H67" si="61">IFERROR(IF(AND(F66&lt;&gt;0,G66&lt;&gt;0),(1/((1/F66)+(1/G66))),IF(AND(F66&lt;&gt;0,G66=0),(1/(1/F66)),IF(AND(F66=0,G66&lt;&gt;0),(1/(1/G66)),0))),0)</f>
        <v>2.6907862239582276E-5</v>
      </c>
      <c r="I66" s="65">
        <f>IFERROR(VLOOKUP("Rn-222",$A$4:$L$32,9)/$B66,0)</f>
        <v>2.2603636363636364E-15</v>
      </c>
      <c r="J66" s="66">
        <f>IFERROR(VLOOKUP("Rn-222",$A$4:$L$32,10)/$B66,0)</f>
        <v>4.9501963636363648E-11</v>
      </c>
      <c r="K66" s="67">
        <f>IFERROR(VLOOKUP("Rn-222",$A$4:$L$32,11)/$B66,0)</f>
        <v>2.2602604281249093E-15</v>
      </c>
    </row>
    <row r="67" spans="1:11">
      <c r="A67" s="31" t="s">
        <v>154</v>
      </c>
      <c r="B67" s="32">
        <v>1</v>
      </c>
      <c r="C67" s="65">
        <f>IFERROR(VLOOKUP("Po-218",$A$4:$L$32,3)/$B67,0)</f>
        <v>7.2727272727272723E-4</v>
      </c>
      <c r="D67" s="66">
        <f>IFERROR(VLOOKUP("Po-218",$A$4:$L$32,4)/$B67,0)</f>
        <v>15.927272727272729</v>
      </c>
      <c r="E67" s="67">
        <f t="shared" si="60"/>
        <v>7.272395199887095E-4</v>
      </c>
      <c r="F67" s="65">
        <f>IFERROR(VLOOKUP("Po-218",$A$4:$L$32,6)/$B67,0)</f>
        <v>2.6909090909090934E-5</v>
      </c>
      <c r="G67" s="66">
        <f>IFERROR(VLOOKUP("Po-218",$A$4:$L$32,7)/$B67,0)</f>
        <v>0.58930909090909156</v>
      </c>
      <c r="H67" s="67">
        <f t="shared" si="61"/>
        <v>2.6907862239582276E-5</v>
      </c>
      <c r="I67" s="65">
        <f>IFERROR(VLOOKUP("Po-218",$A$4:$L$32,9)/$B67,0)</f>
        <v>2.2196363636363638E-15</v>
      </c>
      <c r="J67" s="66">
        <f>IFERROR(VLOOKUP("Po-218",$A$4:$L$32,10)/$B67,0)</f>
        <v>4.8610036363636374E-11</v>
      </c>
      <c r="K67" s="67">
        <f>IFERROR(VLOOKUP("Po-218",$A$4:$L$32,11)/$B67,0)</f>
        <v>2.2195350150055416E-15</v>
      </c>
    </row>
    <row r="68" spans="1:11">
      <c r="A68" s="31" t="s">
        <v>156</v>
      </c>
      <c r="B68" s="32">
        <v>2.0000000000000001E-4</v>
      </c>
      <c r="C68" s="65">
        <f>IFERROR(VLOOKUP("At-218",$A$4:$L$32,3)/$B68,0)</f>
        <v>3.6363636363636358</v>
      </c>
      <c r="D68" s="66">
        <f>IFERROR(VLOOKUP("At-218",$A$4:$L$32,4)/$B68,0)</f>
        <v>79636.363636363647</v>
      </c>
      <c r="E68" s="67">
        <f>IFERROR(IF(AND(C68&lt;&gt;0,D68&lt;&gt;0),(1/((1/C68)+(1/D68))),IF(AND(C68&lt;&gt;0,D68=0),(1/(1/C68)),IF(AND(C68=0,D68&lt;&gt;0),(1/(1/D68)),0))),0)</f>
        <v>3.636197599943547</v>
      </c>
      <c r="F68" s="65">
        <f>IFERROR(VLOOKUP("At-218",$A$4:$L$32,6)/$B68,0)</f>
        <v>0.13454545454545466</v>
      </c>
      <c r="G68" s="66">
        <f>IFERROR(VLOOKUP("At-218",$A$4:$L$32,7)/$B68,0)</f>
        <v>2946.5454545454577</v>
      </c>
      <c r="H68" s="67">
        <f>IFERROR(IF(AND(F68&lt;&gt;0,G68&lt;&gt;0),(1/((1/F68)+(1/G68))),IF(AND(F68&lt;&gt;0,G68=0),(1/(1/F68)),IF(AND(F68=0,G68&lt;&gt;0),(1/(1/G68)),0))),0)</f>
        <v>0.13453931119791138</v>
      </c>
      <c r="I68" s="65">
        <f>IFERROR(VLOOKUP("At-218",$A$4:$L$32,9)/$B68,0)</f>
        <v>1.1098181818181819E-11</v>
      </c>
      <c r="J68" s="66">
        <f>IFERROR(VLOOKUP("At-218",$A$4:$L$32,10)/$B68,0)</f>
        <v>2.4305018181818186E-7</v>
      </c>
      <c r="K68" s="67">
        <f>IFERROR(VLOOKUP("At-218",$A$4:$L$32,11)/$B68,0)</f>
        <v>1.1097675075027708E-11</v>
      </c>
    </row>
    <row r="69" spans="1:11">
      <c r="A69" s="31" t="s">
        <v>158</v>
      </c>
      <c r="B69" s="32">
        <v>1.9999999999999999E-7</v>
      </c>
      <c r="C69" s="65">
        <f>IFERROR(VLOOKUP("Rn-218",$A$4:$L$32,3)/$B69,0)</f>
        <v>3636.3636363636365</v>
      </c>
      <c r="D69" s="66">
        <f>IFERROR(VLOOKUP("Rn-218",$A$4:$L$32,4)/$B69,0)</f>
        <v>79636363.636363655</v>
      </c>
      <c r="E69" s="67">
        <f>IFERROR(IF(AND(C69&lt;&gt;0,D69&lt;&gt;0),(1/((1/C69)+(1/D69))),IF(AND(C69&lt;&gt;0,D69=0),(1/(1/C69)),IF(AND(C69=0,D69&lt;&gt;0),(1/(1/D69)),0))),0)</f>
        <v>3636.1975999435472</v>
      </c>
      <c r="F69" s="65">
        <f>IFERROR(VLOOKUP("Rn-218",$A$4:$L$32,6)/$B69,0)</f>
        <v>134.54545454545467</v>
      </c>
      <c r="G69" s="66">
        <f>IFERROR(VLOOKUP("Rn-218",$A$4:$L$32,7)/$B69,0)</f>
        <v>2946545.4545454578</v>
      </c>
      <c r="H69" s="67">
        <f>IFERROR(IF(AND(F69&lt;&gt;0,G69&lt;&gt;0),(1/((1/F69)+(1/G69))),IF(AND(F69&lt;&gt;0,G69=0),(1/(1/F69)),IF(AND(F69=0,G69&lt;&gt;0),(1/(1/G69)),0))),0)</f>
        <v>134.53931119791139</v>
      </c>
      <c r="I69" s="65">
        <f>IFERROR(VLOOKUP("Rn-218",$A$4:$L$32,9)/$B69,0)</f>
        <v>1.109818181818182E-8</v>
      </c>
      <c r="J69" s="66">
        <f>IFERROR(VLOOKUP("Rn-218",$A$4:$L$32,10)/$B69,0)</f>
        <v>2.4305018181818187E-4</v>
      </c>
      <c r="K69" s="67">
        <f>IFERROR(VLOOKUP("Rn-218",$A$4:$L$32,11)/$B69,0)</f>
        <v>1.1097675075027709E-8</v>
      </c>
    </row>
    <row r="70" spans="1:11">
      <c r="A70" s="31" t="s">
        <v>155</v>
      </c>
      <c r="B70" s="32">
        <v>0.99980000000000002</v>
      </c>
      <c r="C70" s="65">
        <f>IFERROR(VLOOKUP("Pb-214",$A$4:$L$32,3)/$B70,0)</f>
        <v>7.2741821091491018E-4</v>
      </c>
      <c r="D70" s="66">
        <f>IFERROR(VLOOKUP("Pb-214",$A$4:$L$32,4)/$B70,0)</f>
        <v>15.930458819036536</v>
      </c>
      <c r="E70" s="67">
        <f t="shared" ref="E70:E75" si="62">IFERROR(IF(AND(C70&lt;&gt;0,D70&lt;&gt;0),(1/((1/C70)+(1/D70))),IF(AND(C70&lt;&gt;0,D70=0),(1/(1/C70)),IF(AND(C70=0,D70&lt;&gt;0),(1/(1/D70)),0))),0)</f>
        <v>7.2738499698810706E-4</v>
      </c>
      <c r="F70" s="65">
        <f>IFERROR(VLOOKUP("Pb-214",$A$4:$L$32,6)/$B70,0)</f>
        <v>2.6914473803851703E-5</v>
      </c>
      <c r="G70" s="66">
        <f>IFERROR(VLOOKUP("Pb-214",$A$4:$L$32,7)/$B70,0)</f>
        <v>0.58942697630435237</v>
      </c>
      <c r="H70" s="67">
        <f t="shared" ref="H70:H75" si="63">IFERROR(IF(AND(F70&lt;&gt;0,G70&lt;&gt;0),(1/((1/F70)+(1/G70))),IF(AND(F70&lt;&gt;0,G70=0),(1/(1/F70)),IF(AND(F70=0,G70&lt;&gt;0),(1/(1/G70)),0))),0)</f>
        <v>2.6913244888559986E-5</v>
      </c>
      <c r="I70" s="65">
        <f>IFERROR(VLOOKUP("Pb-214",$A$4:$L$32,9)/$B70,0)</f>
        <v>2.1793449599010712E-15</v>
      </c>
      <c r="J70" s="66">
        <f>IFERROR(VLOOKUP("Pb-214",$A$4:$L$32,10)/$B70,0)</f>
        <v>4.7727654621833474E-11</v>
      </c>
      <c r="K70" s="67">
        <f>IFERROR(VLOOKUP("Pb-214",$A$4:$L$32,11)/$B70,0)</f>
        <v>2.1792454509763689E-15</v>
      </c>
    </row>
    <row r="71" spans="1:11">
      <c r="A71" s="31" t="s">
        <v>157</v>
      </c>
      <c r="B71" s="32">
        <v>0.99999979999999999</v>
      </c>
      <c r="C71" s="65">
        <f>IFERROR(VLOOKUP("Bi-214",$A$4:$L$32,3)/$B71,0)</f>
        <v>7.2727287272730183E-4</v>
      </c>
      <c r="D71" s="66">
        <f>IFERROR(VLOOKUP("Bi-214",$A$4:$L$32,4)/$B71,0)</f>
        <v>15.927275912727913</v>
      </c>
      <c r="E71" s="67">
        <f t="shared" si="62"/>
        <v>7.2723966543664271E-4</v>
      </c>
      <c r="F71" s="65">
        <f>IFERROR(VLOOKUP("Bi-214",$A$4:$L$32,6)/$B71,0)</f>
        <v>2.6909096290910191E-5</v>
      </c>
      <c r="G71" s="66">
        <f>IFERROR(VLOOKUP("Bi-214",$A$4:$L$32,7)/$B71,0)</f>
        <v>0.58930920877093329</v>
      </c>
      <c r="H71" s="67">
        <f t="shared" si="63"/>
        <v>2.6907867621155806E-5</v>
      </c>
      <c r="I71" s="65">
        <f>IFERROR(VLOOKUP("Bi-214",$A$4:$L$32,9)/$B71,0)</f>
        <v>2.1789095266909965E-15</v>
      </c>
      <c r="J71" s="66">
        <f>IFERROR(VLOOKUP("Bi-214",$A$4:$L$32,10)/$B71,0)</f>
        <v>4.771811863453283E-11</v>
      </c>
      <c r="K71" s="67">
        <f>IFERROR(VLOOKUP("Bi-214",$A$4:$L$32,11)/$B71,0)</f>
        <v>2.1788100376481812E-15</v>
      </c>
    </row>
    <row r="72" spans="1:11">
      <c r="A72" s="31" t="s">
        <v>159</v>
      </c>
      <c r="B72" s="32">
        <v>0.99979000004200003</v>
      </c>
      <c r="C72" s="65">
        <f>IFERROR(VLOOKUP("Po-214",$A$4:$L$32,3)/$B72,0)</f>
        <v>7.2742548659436015E-4</v>
      </c>
      <c r="D72" s="66">
        <f>IFERROR(VLOOKUP("Po-214",$A$4:$L$32,4)/$B72,0)</f>
        <v>15.930618156416491</v>
      </c>
      <c r="E72" s="67">
        <f t="shared" si="62"/>
        <v>7.2739227233534947E-4</v>
      </c>
      <c r="F72" s="65">
        <f>IFERROR(VLOOKUP("Po-214",$A$4:$L$32,6)/$B72,0)</f>
        <v>2.6914743003991351E-5</v>
      </c>
      <c r="G72" s="66">
        <f>IFERROR(VLOOKUP("Po-214",$A$4:$L$32,7)/$B72,0)</f>
        <v>0.58943287178741077</v>
      </c>
      <c r="H72" s="67">
        <f t="shared" si="63"/>
        <v>2.6913514076407953E-5</v>
      </c>
      <c r="I72" s="65">
        <f>IFERROR(VLOOKUP("Po-214",$A$4:$L$32,9)/$B72,0)</f>
        <v>2.1793667578367035E-15</v>
      </c>
      <c r="J72" s="66">
        <f>IFERROR(VLOOKUP("Po-214",$A$4:$L$32,10)/$B72,0)</f>
        <v>4.7728131996623811E-11</v>
      </c>
      <c r="K72" s="67">
        <f>IFERROR(VLOOKUP("Po-214",$A$4:$L$32,11)/$B72,0)</f>
        <v>2.1792672479167068E-15</v>
      </c>
    </row>
    <row r="73" spans="1:11">
      <c r="A73" s="31" t="s">
        <v>160</v>
      </c>
      <c r="B73" s="32">
        <v>2.0999995799999999E-4</v>
      </c>
      <c r="C73" s="65">
        <f>IFERROR(VLOOKUP("Tl-210",$A$4:$L$32,3)/$B73,0)</f>
        <v>3.4632041558442945</v>
      </c>
      <c r="D73" s="66">
        <f>IFERROR(VLOOKUP("Tl-210",$A$4:$L$32,4)/$B73,0)</f>
        <v>75844.17101299006</v>
      </c>
      <c r="E73" s="67">
        <f t="shared" si="62"/>
        <v>3.4630460258887741</v>
      </c>
      <c r="F73" s="65">
        <f>IFERROR(VLOOKUP("Tl-210",$A$4:$L$32,6)/$B73,0)</f>
        <v>0.12813855376623901</v>
      </c>
      <c r="G73" s="66">
        <f>IFERROR(VLOOKUP("Tl-210",$A$4:$L$32,7)/$B73,0)</f>
        <v>2806.2343274806349</v>
      </c>
      <c r="H73" s="67">
        <f t="shared" si="63"/>
        <v>0.12813270295788476</v>
      </c>
      <c r="I73" s="65">
        <f>IFERROR(VLOOKUP("Tl-210",$A$4:$L$32,9)/$B73,0)</f>
        <v>1.0181820218182228E-11</v>
      </c>
      <c r="J73" s="66">
        <f>IFERROR(VLOOKUP("Tl-210",$A$4:$L$32,10)/$B73,0)</f>
        <v>2.2298186277819083E-7</v>
      </c>
      <c r="K73" s="67">
        <f>IFERROR(VLOOKUP("Tl-210",$A$4:$L$32,11)/$B73,0)</f>
        <v>1.0181355316112996E-11</v>
      </c>
    </row>
    <row r="74" spans="1:11">
      <c r="A74" s="31" t="s">
        <v>161</v>
      </c>
      <c r="B74" s="32">
        <v>1</v>
      </c>
      <c r="C74" s="65">
        <f>IFERROR(VLOOKUP("Pb-210",$A$4:$L$32,3)/$B74,0)</f>
        <v>7.2727272727272723E-4</v>
      </c>
      <c r="D74" s="66">
        <f>IFERROR(VLOOKUP("Pb-210",$A$4:$L$32,4)/$B74,0)</f>
        <v>15.927272727272729</v>
      </c>
      <c r="E74" s="67">
        <f t="shared" si="62"/>
        <v>7.272395199887095E-4</v>
      </c>
      <c r="F74" s="65">
        <f>IFERROR(VLOOKUP("Pb-210",$A$4:$L$32,6)/$B74,0)</f>
        <v>2.6909090909090934E-5</v>
      </c>
      <c r="G74" s="66">
        <f>IFERROR(VLOOKUP("Pb-210",$A$4:$L$32,7)/$B74,0)</f>
        <v>0.58930909090909156</v>
      </c>
      <c r="H74" s="67">
        <f t="shared" si="63"/>
        <v>2.6907862239582276E-5</v>
      </c>
      <c r="I74" s="65">
        <f>IFERROR(VLOOKUP("Pb-210",$A$4:$L$32,9)/$B74,0)</f>
        <v>2.1381818181818184E-15</v>
      </c>
      <c r="J74" s="66">
        <f>IFERROR(VLOOKUP("Pb-210",$A$4:$L$32,10)/$B74,0)</f>
        <v>4.6826181818181831E-11</v>
      </c>
      <c r="K74" s="67">
        <f>IFERROR(VLOOKUP("Pb-210",$A$4:$L$32,11)/$B74,0)</f>
        <v>2.138084188766806E-15</v>
      </c>
    </row>
    <row r="75" spans="1:11">
      <c r="A75" s="31" t="s">
        <v>162</v>
      </c>
      <c r="B75" s="32">
        <v>1</v>
      </c>
      <c r="C75" s="65">
        <f>IFERROR(VLOOKUP("Bi-210",$A$4:$L$32,3)/$B75,0)</f>
        <v>7.2727272727272723E-4</v>
      </c>
      <c r="D75" s="66">
        <f>IFERROR(VLOOKUP("Bi-210",$A$4:$L$32,4)/$B75,0)</f>
        <v>15.927272727272729</v>
      </c>
      <c r="E75" s="67">
        <f t="shared" si="62"/>
        <v>7.272395199887095E-4</v>
      </c>
      <c r="F75" s="65">
        <f>IFERROR(VLOOKUP("Bi-210",$A$4:$L$32,6)/$B75,0)</f>
        <v>2.6909090909090934E-5</v>
      </c>
      <c r="G75" s="66">
        <f>IFERROR(VLOOKUP("Bi-210",$A$4:$L$32,7)/$B75,0)</f>
        <v>0.58930909090909156</v>
      </c>
      <c r="H75" s="67">
        <f t="shared" si="63"/>
        <v>2.6907862239582276E-5</v>
      </c>
      <c r="I75" s="65">
        <f>IFERROR(VLOOKUP("Bi-210",$A$4:$L$32,9)/$B75,0)</f>
        <v>2.1381818181818184E-15</v>
      </c>
      <c r="J75" s="66">
        <f>IFERROR(VLOOKUP("Bi-210",$A$4:$L$32,10)/$B75,0)</f>
        <v>4.6826181818181831E-11</v>
      </c>
      <c r="K75" s="67">
        <f>IFERROR(VLOOKUP("Bi-210",$A$4:$L$32,11)/$B75,0)</f>
        <v>2.138084188766806E-15</v>
      </c>
    </row>
    <row r="76" spans="1:11">
      <c r="A76" s="31" t="s">
        <v>164</v>
      </c>
      <c r="B76" s="32">
        <v>1</v>
      </c>
      <c r="C76" s="65">
        <f>IFERROR(VLOOKUP("Po-210",$A$4:$L$32,3)/$B76,0)</f>
        <v>7.2727272727272723E-4</v>
      </c>
      <c r="D76" s="66">
        <f>IFERROR(VLOOKUP("Po-210",$A$4:$L$32,4)/$B76,0)</f>
        <v>15.927272727272729</v>
      </c>
      <c r="E76" s="67">
        <f>IFERROR(IF(AND(C76&lt;&gt;0,D76&lt;&gt;0),(1/((1/C76)+(1/D76))),IF(AND(C76&lt;&gt;0,D76=0),(1/(1/C76)),IF(AND(C76=0,D76&lt;&gt;0),(1/(1/D76)),0))),0)</f>
        <v>7.272395199887095E-4</v>
      </c>
      <c r="F76" s="65">
        <f>IFERROR(VLOOKUP("Po-210",$A$4:$L$32,6)/$B76,0)</f>
        <v>2.6909090909090934E-5</v>
      </c>
      <c r="G76" s="66">
        <f>IFERROR(VLOOKUP("Po-210",$A$4:$L$32,7)/$B76,0)</f>
        <v>0.58930909090909156</v>
      </c>
      <c r="H76" s="67">
        <f>IFERROR(IF(AND(F76&lt;&gt;0,G76&lt;&gt;0),(1/((1/F76)+(1/G76))),IF(AND(F76&lt;&gt;0,G76=0),(1/(1/F76)),IF(AND(F76=0,G76&lt;&gt;0),(1/(1/G76)),0))),0)</f>
        <v>2.6907862239582276E-5</v>
      </c>
      <c r="I76" s="65">
        <f>IFERROR(VLOOKUP("Po-210",$A$4:$L$32,9)/$B76,0)</f>
        <v>2.1381818181818184E-15</v>
      </c>
      <c r="J76" s="66">
        <f>IFERROR(VLOOKUP("Po-210",$A$4:$L$32,10)/$B76,0)</f>
        <v>4.6826181818181831E-11</v>
      </c>
      <c r="K76" s="67">
        <f>IFERROR(VLOOKUP("Po-210",$A$4:$L$32,11)/$B76,0)</f>
        <v>2.138084188766806E-15</v>
      </c>
    </row>
    <row r="77" spans="1:11">
      <c r="A77" s="31" t="s">
        <v>163</v>
      </c>
      <c r="B77" s="34">
        <v>1.9000000000000001E-8</v>
      </c>
      <c r="C77" s="65">
        <f>IFERROR(VLOOKUP("Hg-206",$A$4:$L$32,3)/$B77,0)</f>
        <v>38277.511961722485</v>
      </c>
      <c r="D77" s="66">
        <f>IFERROR(VLOOKUP("Hg-206",$A$4:$L$32,4)/$B77,0)</f>
        <v>838277511.96172249</v>
      </c>
      <c r="E77" s="67">
        <f t="shared" ref="E77:E78" si="64">IFERROR(IF(AND(C77&lt;&gt;0,D77&lt;&gt;0),(1/((1/C77)+(1/D77))),IF(AND(C77&lt;&gt;0,D77=0),(1/(1/C77)),IF(AND(C77=0,D77&lt;&gt;0),(1/(1/D77)),0))),0)</f>
        <v>38275.76420993208</v>
      </c>
      <c r="F77" s="65">
        <f>IFERROR(VLOOKUP("Hg-206",$A$4:$L$32,6)/$B77,0)</f>
        <v>1416.2679425837332</v>
      </c>
      <c r="G77" s="66">
        <f>IFERROR(VLOOKUP("Hg-206",$A$4:$L$32,7)/$B77,0)</f>
        <v>31016267.942583766</v>
      </c>
      <c r="H77" s="67">
        <f t="shared" ref="H77:H78" si="65">IFERROR(IF(AND(F77&lt;&gt;0,G77&lt;&gt;0),(1/((1/F77)+(1/G77))),IF(AND(F77&lt;&gt;0,G77=0),(1/(1/F77)),IF(AND(F77=0,G77&lt;&gt;0),(1/(1/G77)),0))),0)</f>
        <v>1416.2032757674879</v>
      </c>
      <c r="I77" s="65">
        <f>IFERROR(VLOOKUP("Hg-206",$A$4:$L$32,9)/$B77,0)</f>
        <v>1.1039234449760767E-7</v>
      </c>
      <c r="J77" s="66">
        <f>IFERROR(VLOOKUP("Hg-206",$A$4:$L$32,10)/$B77,0)</f>
        <v>2.417592344497608E-3</v>
      </c>
      <c r="K77" s="67">
        <f>IFERROR(VLOOKUP("Hg-206",$A$4:$L$32,11)/$B77,0)</f>
        <v>1.1038730398144411E-7</v>
      </c>
    </row>
    <row r="78" spans="1:11">
      <c r="A78" s="31" t="s">
        <v>165</v>
      </c>
      <c r="B78" s="32">
        <v>1.339E-6</v>
      </c>
      <c r="C78" s="65">
        <f>IFERROR(VLOOKUP("Tl-206",$A$4:$L$32,3)/$B78,0)</f>
        <v>543.14617421413539</v>
      </c>
      <c r="D78" s="66">
        <f>IFERROR(VLOOKUP("Tl-206",$A$4:$L$32,4)/$B78,0)</f>
        <v>11894901.215289567</v>
      </c>
      <c r="E78" s="67">
        <f t="shared" si="64"/>
        <v>543.12137415138875</v>
      </c>
      <c r="F78" s="65">
        <f>IFERROR(VLOOKUP("Tl-206",$A$4:$L$32,6)/$B78,0)</f>
        <v>20.096408445923029</v>
      </c>
      <c r="G78" s="66">
        <f>IFERROR(VLOOKUP("Tl-206",$A$4:$L$32,7)/$B78,0)</f>
        <v>440111.34496571438</v>
      </c>
      <c r="H78" s="67">
        <f t="shared" si="65"/>
        <v>20.095490843601404</v>
      </c>
      <c r="I78" s="65">
        <f>IFERROR(VLOOKUP("Tl-206",$A$4:$L$32,9)/$B78,0)</f>
        <v>1.5664335664335667E-9</v>
      </c>
      <c r="J78" s="66">
        <f>IFERROR(VLOOKUP("Tl-206",$A$4:$L$32,10)/$B78,0)</f>
        <v>3.4304895104895114E-5</v>
      </c>
      <c r="K78" s="67">
        <f>IFERROR(VLOOKUP("Tl-206",$A$4:$L$32,11)/$B78,0)</f>
        <v>1.5663620430526051E-9</v>
      </c>
    </row>
  </sheetData>
  <sheetProtection algorithmName="SHA-512" hashValue="ogUQbAc00KiMAMHTZDNZP0DHZpRgYx5pb4CAUimRCGtrgFSTUZj9qP8zPXJASWkva/Mi8Vp5gHaEJczwjZWyIA==" saltValue="w06U19wHBDw4FmWf24sYvg==" spinCount="100000" sheet="1" formatCells="0" formatColumns="0" formatRows="0" insertColumns="0" insertRows="0" autoFilter="0"/>
  <autoFilter ref="A2:K78" xr:uid="{00000000-0009-0000-0000-00000F000000}"/>
  <mergeCells count="3">
    <mergeCell ref="C1:E1"/>
    <mergeCell ref="F1:H1"/>
    <mergeCell ref="I1:K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58</vt:i4>
      </vt:variant>
    </vt:vector>
  </HeadingPairs>
  <TitlesOfParts>
    <vt:vector size="74" baseType="lpstr">
      <vt:lpstr>Instructions</vt:lpstr>
      <vt:lpstr>Doses</vt:lpstr>
      <vt:lpstr>Isospec</vt:lpstr>
      <vt:lpstr>ss</vt:lpstr>
      <vt:lpstr>up_res_dust</vt:lpstr>
      <vt:lpstr>up_res_air</vt:lpstr>
      <vt:lpstr>up_res_3D</vt:lpstr>
      <vt:lpstr>up_ind_dust</vt:lpstr>
      <vt:lpstr>up_ind_air</vt:lpstr>
      <vt:lpstr>up_ind_3D</vt:lpstr>
      <vt:lpstr>up_res_dust_dose</vt:lpstr>
      <vt:lpstr>up_res_air_dose</vt:lpstr>
      <vt:lpstr>up_res_3D_dose</vt:lpstr>
      <vt:lpstr>up_ind_dust_dose</vt:lpstr>
      <vt:lpstr>up_ind_air_dose</vt:lpstr>
      <vt:lpstr>up_ind_3D_dose</vt:lpstr>
      <vt:lpstr>ss!FTSSh_a</vt:lpstr>
      <vt:lpstr>ss!FTSSh_c</vt:lpstr>
      <vt:lpstr>ss!FTSSs_a</vt:lpstr>
      <vt:lpstr>ss!FTSSs_c</vt:lpstr>
      <vt:lpstr>k_decay</vt:lpstr>
      <vt:lpstr>k_decay_iw</vt:lpstr>
      <vt:lpstr>s_1_bq</vt:lpstr>
      <vt:lpstr>s_AAFa</vt:lpstr>
      <vt:lpstr>s_AAFc</vt:lpstr>
      <vt:lpstr>s_C</vt:lpstr>
      <vt:lpstr>s_DL</vt:lpstr>
      <vt:lpstr>s_EFiw</vt:lpstr>
      <vt:lpstr>s_EFres</vt:lpstr>
      <vt:lpstr>s_EFres_a</vt:lpstr>
      <vt:lpstr>s_EFres_c</vt:lpstr>
      <vt:lpstr>s_ETiw</vt:lpstr>
      <vt:lpstr>s_ETiw_h</vt:lpstr>
      <vt:lpstr>s_ETiw_s</vt:lpstr>
      <vt:lpstr>s_ETres</vt:lpstr>
      <vt:lpstr>s_ETres_a</vt:lpstr>
      <vt:lpstr>s_ETres_a_h</vt:lpstr>
      <vt:lpstr>s_ETres_a_s</vt:lpstr>
      <vt:lpstr>s_ETres_c</vt:lpstr>
      <vt:lpstr>s_ETres_c_h</vt:lpstr>
      <vt:lpstr>s_ETres_c_s</vt:lpstr>
      <vt:lpstr>s_Fam</vt:lpstr>
      <vt:lpstr>s_Fi</vt:lpstr>
      <vt:lpstr>s_Fin</vt:lpstr>
      <vt:lpstr>s_Foff</vt:lpstr>
      <vt:lpstr>s_FQiw</vt:lpstr>
      <vt:lpstr>s_FQres_a</vt:lpstr>
      <vt:lpstr>s_FQres_c</vt:lpstr>
      <vt:lpstr>s_FSAres_a</vt:lpstr>
      <vt:lpstr>s_FSAres_c</vt:lpstr>
      <vt:lpstr>s_FTSSh</vt:lpstr>
      <vt:lpstr>s_FTSSh_a</vt:lpstr>
      <vt:lpstr>s_FTSSh_c</vt:lpstr>
      <vt:lpstr>s_FTSSs</vt:lpstr>
      <vt:lpstr>s_FTSSs_a</vt:lpstr>
      <vt:lpstr>s_FTSSs_c</vt:lpstr>
      <vt:lpstr>s_GSFa</vt:lpstr>
      <vt:lpstr>s_GSFb</vt:lpstr>
      <vt:lpstr>s_IFAres_adj</vt:lpstr>
      <vt:lpstr>s_IFDiw</vt:lpstr>
      <vt:lpstr>s_IFDres_adj</vt:lpstr>
      <vt:lpstr>s_IRAiw</vt:lpstr>
      <vt:lpstr>s_IRAres_a</vt:lpstr>
      <vt:lpstr>s_IRAres_c</vt:lpstr>
      <vt:lpstr>s_IRDiw</vt:lpstr>
      <vt:lpstr>s_k</vt:lpstr>
      <vt:lpstr>s_SAiw</vt:lpstr>
      <vt:lpstr>s_SAres_a</vt:lpstr>
      <vt:lpstr>s_SAres_c</vt:lpstr>
      <vt:lpstr>s_SE</vt:lpstr>
      <vt:lpstr>s_SSLcm_m</vt:lpstr>
      <vt:lpstr>s_SSLgram</vt:lpstr>
      <vt:lpstr>s_tiw</vt:lpstr>
      <vt:lpstr>s_tres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password</dc:title>
  <dc:creator>Manning, Karessa L.</dc:creator>
  <cp:keywords>is</cp:keywords>
  <cp:lastModifiedBy>Manning, Karessa</cp:lastModifiedBy>
  <dcterms:created xsi:type="dcterms:W3CDTF">2016-07-07T21:45:55Z</dcterms:created>
  <dcterms:modified xsi:type="dcterms:W3CDTF">2024-09-19T14:06:34Z</dcterms:modified>
  <cp:category>testing12</cp:category>
</cp:coreProperties>
</file>